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965"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<sst xmlns="http://schemas.openxmlformats.org/spreadsheetml/2006/main" count="1506" uniqueCount="646">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</sst>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 numFmtId="176" formatCode="_(* #,##0.0_);_(* \(#,##0.0\);_(* &quot;-&quot;??_);_(@_)"/>
    <numFmt numFmtId="177" formatCode="_(* #,##0_);_(* \(#,##0\);_(* &quot;-&quot;??_);_(@_)"/>
    <numFmt numFmtId="178" formatCode="0.0"/>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rgb="FFFFFF00"/>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5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177" fontId="0" fillId="37" borderId="30" xfId="42" applyNumberFormat="1" applyFont="1" applyFill="1" applyBorder="1" applyAlignment="1">
      <alignment/>
    </xf>
    <xf numFmtId="0" fontId="8" fillId="0" borderId="29" xfId="0" applyFont="1" applyFill="1" applyBorder="1" applyAlignment="1" applyProtection="1">
      <alignment horizontal="right" vertical="center" wrapText="1"/>
      <protection locked="0"/>
    </xf>
    <xf numFmtId="0" fontId="31" fillId="0" borderId="29" xfId="0" applyFont="1" applyFill="1" applyBorder="1" applyAlignment="1" applyProtection="1">
      <alignment horizontal="right" vertical="center" wrapText="1"/>
      <protection locked="0"/>
    </xf>
    <xf numFmtId="0" fontId="3" fillId="42" borderId="39" xfId="0" applyFont="1" applyFill="1" applyBorder="1" applyAlignment="1">
      <alignment vertical="top" wrapText="1"/>
    </xf>
    <xf numFmtId="0" fontId="3" fillId="42" borderId="30" xfId="0" applyFont="1" applyFill="1" applyBorder="1" applyAlignment="1">
      <alignment vertical="top" wrapText="1"/>
    </xf>
    <xf numFmtId="0" fontId="2" fillId="42" borderId="40" xfId="0" applyFont="1" applyFill="1" applyBorder="1" applyAlignment="1">
      <alignment vertical="top" wrapText="1"/>
    </xf>
    <xf numFmtId="0" fontId="106" fillId="0" borderId="29"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right" vertical="center" wrapText="1"/>
      <protection locked="0"/>
    </xf>
    <xf numFmtId="0" fontId="31" fillId="0" borderId="27" xfId="0" applyFont="1" applyFill="1" applyBorder="1" applyAlignment="1" applyProtection="1">
      <alignment horizontal="right" vertical="center" wrapText="1"/>
      <protection locked="0"/>
    </xf>
    <xf numFmtId="178" fontId="8" fillId="0" borderId="27" xfId="0" applyNumberFormat="1" applyFont="1" applyFill="1" applyBorder="1" applyAlignment="1" applyProtection="1">
      <alignment horizontal="right" vertical="center" wrapText="1"/>
      <protection locked="0"/>
    </xf>
    <xf numFmtId="0" fontId="8" fillId="0" borderId="28" xfId="0" applyNumberFormat="1" applyFont="1" applyFill="1" applyBorder="1" applyAlignment="1" applyProtection="1">
      <alignment horizontal="right" vertical="center" wrapText="1"/>
      <protection locked="0"/>
    </xf>
    <xf numFmtId="0" fontId="31" fillId="0" borderId="28" xfId="0" applyFont="1" applyFill="1" applyBorder="1" applyAlignment="1" applyProtection="1">
      <alignment horizontal="right" vertical="center" wrapText="1"/>
      <protection locked="0"/>
    </xf>
    <xf numFmtId="0" fontId="8" fillId="0" borderId="49" xfId="0" applyFont="1" applyBorder="1" applyAlignment="1" applyProtection="1">
      <alignment horizontal="right" vertical="center" wrapText="1"/>
      <protection locked="0"/>
    </xf>
    <xf numFmtId="0" fontId="31" fillId="0" borderId="49" xfId="0" applyFont="1" applyBorder="1" applyAlignment="1" applyProtection="1">
      <alignment horizontal="right" vertical="center" wrapText="1"/>
      <protection locked="0"/>
    </xf>
    <xf numFmtId="0" fontId="8" fillId="0" borderId="49" xfId="0" applyFont="1" applyFill="1" applyBorder="1" applyAlignment="1" applyProtection="1">
      <alignment horizontal="right" vertical="center" wrapText="1"/>
      <protection locked="0"/>
    </xf>
    <xf numFmtId="0" fontId="31" fillId="0" borderId="49" xfId="0" applyFont="1" applyFill="1" applyBorder="1" applyAlignment="1" applyProtection="1">
      <alignment horizontal="right" vertical="center" wrapText="1"/>
      <protection locked="0"/>
    </xf>
    <xf numFmtId="178" fontId="8" fillId="0" borderId="49" xfId="0" applyNumberFormat="1" applyFont="1" applyFill="1" applyBorder="1" applyAlignment="1" applyProtection="1">
      <alignment horizontal="right" vertical="center" wrapText="1"/>
      <protection locked="0"/>
    </xf>
    <xf numFmtId="0" fontId="8" fillId="0" borderId="27" xfId="0" applyFont="1" applyBorder="1" applyAlignment="1" applyProtection="1">
      <alignment horizontal="right" vertical="center" wrapText="1"/>
      <protection locked="0"/>
    </xf>
    <xf numFmtId="0" fontId="31" fillId="0" borderId="27" xfId="0" applyFont="1" applyBorder="1" applyAlignment="1" applyProtection="1">
      <alignment horizontal="right" vertical="center" wrapText="1"/>
      <protection locked="0"/>
    </xf>
    <xf numFmtId="178" fontId="8" fillId="0" borderId="29" xfId="0" applyNumberFormat="1" applyFont="1" applyFill="1" applyBorder="1" applyAlignment="1" applyProtection="1">
      <alignment horizontal="right" vertical="center" wrapText="1"/>
      <protection locked="0"/>
    </xf>
    <xf numFmtId="0" fontId="8" fillId="0" borderId="29" xfId="0" applyFont="1" applyFill="1" applyBorder="1" applyAlignment="1" applyProtection="1">
      <alignment vertical="center" wrapText="1"/>
      <protection locked="0"/>
    </xf>
    <xf numFmtId="0" fontId="31" fillId="0" borderId="29" xfId="0" applyFont="1" applyFill="1" applyBorder="1" applyAlignment="1" applyProtection="1">
      <alignment vertical="center" wrapText="1"/>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3"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6" borderId="52"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6"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36" borderId="80"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9" fillId="0" borderId="0" xfId="0" applyFont="1" applyFill="1" applyBorder="1" applyAlignment="1">
      <alignment wrapText="1"/>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8" fillId="5" borderId="80"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1"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3" borderId="8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5750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4842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3845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80072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484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575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40100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15</xdr:row>
      <xdr:rowOff>200025</xdr:rowOff>
    </xdr:from>
    <xdr:to>
      <xdr:col>6</xdr:col>
      <xdr:colOff>552450</xdr:colOff>
      <xdr:row>16</xdr:row>
      <xdr:rowOff>38100</xdr:rowOff>
    </xdr:to>
    <xdr:sp>
      <xdr:nvSpPr>
        <xdr:cNvPr id="18" name="Line 209"/>
        <xdr:cNvSpPr>
          <a:spLocks/>
        </xdr:cNvSpPr>
      </xdr:nvSpPr>
      <xdr:spPr>
        <a:xfrm flipH="1">
          <a:off x="4543425"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16</xdr:row>
      <xdr:rowOff>1066800</xdr:rowOff>
    </xdr:from>
    <xdr:to>
      <xdr:col>7</xdr:col>
      <xdr:colOff>552450</xdr:colOff>
      <xdr:row>18</xdr:row>
      <xdr:rowOff>9525</xdr:rowOff>
    </xdr:to>
    <xdr:sp>
      <xdr:nvSpPr>
        <xdr:cNvPr id="25" name="Line 216"/>
        <xdr:cNvSpPr>
          <a:spLocks/>
        </xdr:cNvSpPr>
      </xdr:nvSpPr>
      <xdr:spPr>
        <a:xfrm flipH="1">
          <a:off x="57340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342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96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20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40030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40030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171450</xdr:rowOff>
    </xdr:to>
    <xdr:sp>
      <xdr:nvSpPr>
        <xdr:cNvPr id="39" name="Line 14"/>
        <xdr:cNvSpPr>
          <a:spLocks/>
        </xdr:cNvSpPr>
      </xdr:nvSpPr>
      <xdr:spPr>
        <a:xfrm flipV="1">
          <a:off x="5476875" y="339090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687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198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4029075"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038475"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3038475"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038475"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3038475"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0480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3276600"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3028950"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0480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65" t="s">
        <v>589</v>
      </c>
      <c r="C7" s="765"/>
      <c r="D7" s="765"/>
      <c r="E7" s="765"/>
      <c r="F7" s="765"/>
      <c r="G7" s="765"/>
      <c r="H7" s="765"/>
      <c r="I7" s="765"/>
      <c r="J7" s="765"/>
      <c r="K7" s="765"/>
      <c r="L7" s="765"/>
      <c r="M7" s="765"/>
    </row>
    <row r="8" spans="2:13" ht="24.75" customHeight="1">
      <c r="B8" s="766" t="s">
        <v>644</v>
      </c>
      <c r="C8" s="766"/>
      <c r="D8" s="766"/>
      <c r="E8" s="766"/>
      <c r="F8" s="766"/>
      <c r="G8" s="766"/>
      <c r="H8" s="766"/>
      <c r="I8" s="766"/>
      <c r="J8" s="766"/>
      <c r="K8" s="766"/>
      <c r="L8" s="766"/>
      <c r="M8" s="766"/>
    </row>
    <row r="10" spans="2:4" ht="18">
      <c r="B10" s="116" t="s">
        <v>294</v>
      </c>
      <c r="C10" s="117"/>
      <c r="D10" s="3"/>
    </row>
    <row r="11" spans="2:4" ht="10.5" customHeight="1">
      <c r="B11" s="4"/>
      <c r="C11" s="3"/>
      <c r="D11" s="3"/>
    </row>
    <row r="12" spans="1:13" s="17" customFormat="1" ht="16.5" customHeight="1">
      <c r="A12" s="18"/>
      <c r="B12" s="767" t="s">
        <v>301</v>
      </c>
      <c r="C12" s="767"/>
      <c r="D12" s="767"/>
      <c r="E12" s="767"/>
      <c r="F12" s="767"/>
      <c r="G12" s="767"/>
      <c r="H12" s="767"/>
      <c r="I12" s="767"/>
      <c r="J12" s="767"/>
      <c r="K12" s="767"/>
      <c r="L12" s="767"/>
      <c r="M12" s="767"/>
    </row>
    <row r="13" spans="2:13" ht="10.5" customHeight="1">
      <c r="B13" s="118"/>
      <c r="C13" s="119"/>
      <c r="D13" s="118"/>
      <c r="E13" s="10"/>
      <c r="F13" s="118"/>
      <c r="G13" s="53"/>
      <c r="H13" s="53"/>
      <c r="I13" s="53"/>
      <c r="J13" s="53"/>
      <c r="K13" s="53"/>
      <c r="L13" s="561"/>
      <c r="M13" s="562"/>
    </row>
    <row r="14" spans="2:11" ht="15.75" customHeight="1">
      <c r="B14" s="120" t="s">
        <v>302</v>
      </c>
      <c r="C14" s="768" t="s">
        <v>488</v>
      </c>
      <c r="D14" s="768"/>
      <c r="E14" s="768"/>
      <c r="F14" s="768"/>
      <c r="G14" s="768"/>
      <c r="H14" s="768"/>
      <c r="I14" s="768"/>
      <c r="J14" s="768"/>
      <c r="K14" s="768"/>
    </row>
    <row r="15" spans="2:11" ht="7.5" customHeight="1">
      <c r="B15" s="121"/>
      <c r="C15" s="761"/>
      <c r="D15" s="762"/>
      <c r="E15" s="762"/>
      <c r="F15" s="762"/>
      <c r="G15" s="762"/>
      <c r="H15" s="762"/>
      <c r="I15" s="762"/>
      <c r="J15" s="762"/>
      <c r="K15" s="763"/>
    </row>
    <row r="16" spans="2:11" ht="15.75" customHeight="1">
      <c r="B16" s="121" t="s">
        <v>303</v>
      </c>
      <c r="C16" s="761" t="s">
        <v>305</v>
      </c>
      <c r="D16" s="762"/>
      <c r="E16" s="762"/>
      <c r="F16" s="762"/>
      <c r="G16" s="762"/>
      <c r="H16" s="762"/>
      <c r="I16" s="762"/>
      <c r="J16" s="762"/>
      <c r="K16" s="763"/>
    </row>
    <row r="17" spans="2:11" ht="7.5" customHeight="1">
      <c r="B17" s="121"/>
      <c r="C17" s="761"/>
      <c r="D17" s="762"/>
      <c r="E17" s="762"/>
      <c r="F17" s="762"/>
      <c r="G17" s="762"/>
      <c r="H17" s="762"/>
      <c r="I17" s="762"/>
      <c r="J17" s="762"/>
      <c r="K17" s="763"/>
    </row>
    <row r="18" spans="2:12" ht="15.75" customHeight="1">
      <c r="B18" s="121" t="s">
        <v>306</v>
      </c>
      <c r="C18" s="761" t="s">
        <v>140</v>
      </c>
      <c r="D18" s="764"/>
      <c r="E18" s="764"/>
      <c r="F18" s="764"/>
      <c r="G18" s="764"/>
      <c r="H18" s="764"/>
      <c r="I18" s="764"/>
      <c r="J18" s="764"/>
      <c r="K18" s="764"/>
      <c r="L18" s="89" t="s">
        <v>75</v>
      </c>
    </row>
    <row r="19" spans="2:11" ht="7.5" customHeight="1">
      <c r="B19" s="121"/>
      <c r="C19" s="761"/>
      <c r="D19" s="762"/>
      <c r="E19" s="762"/>
      <c r="F19" s="762"/>
      <c r="G19" s="762"/>
      <c r="H19" s="762"/>
      <c r="I19" s="762"/>
      <c r="J19" s="762"/>
      <c r="K19" s="763"/>
    </row>
    <row r="20" spans="2:12" ht="15.75" customHeight="1">
      <c r="B20" s="121" t="s">
        <v>307</v>
      </c>
      <c r="C20" s="761" t="s">
        <v>83</v>
      </c>
      <c r="D20" s="764"/>
      <c r="E20" s="764"/>
      <c r="F20" s="764"/>
      <c r="G20" s="764"/>
      <c r="H20" s="764"/>
      <c r="I20" s="764"/>
      <c r="J20" s="764"/>
      <c r="K20" s="764"/>
      <c r="L20" s="89" t="s">
        <v>291</v>
      </c>
    </row>
    <row r="21" spans="2:11" ht="7.5" customHeight="1">
      <c r="B21" s="121"/>
      <c r="C21" s="761"/>
      <c r="D21" s="762"/>
      <c r="E21" s="762"/>
      <c r="F21" s="762"/>
      <c r="G21" s="762"/>
      <c r="H21" s="762"/>
      <c r="I21" s="762"/>
      <c r="J21" s="762"/>
      <c r="K21" s="763"/>
    </row>
    <row r="22" spans="2:12" ht="15.75" customHeight="1">
      <c r="B22" s="121" t="s">
        <v>308</v>
      </c>
      <c r="C22" s="761" t="s">
        <v>48</v>
      </c>
      <c r="D22" s="764"/>
      <c r="E22" s="764"/>
      <c r="F22" s="764"/>
      <c r="G22" s="764"/>
      <c r="H22" s="764"/>
      <c r="I22" s="764"/>
      <c r="J22" s="764"/>
      <c r="K22" s="764"/>
      <c r="L22" s="89" t="s">
        <v>79</v>
      </c>
    </row>
    <row r="23" spans="2:11" ht="7.5" customHeight="1">
      <c r="B23" s="121"/>
      <c r="C23" s="761"/>
      <c r="D23" s="762"/>
      <c r="E23" s="762"/>
      <c r="F23" s="762"/>
      <c r="G23" s="762"/>
      <c r="H23" s="762"/>
      <c r="I23" s="762"/>
      <c r="J23" s="762"/>
      <c r="K23" s="763"/>
    </row>
    <row r="24" spans="2:12" ht="15.75" customHeight="1">
      <c r="B24" s="121" t="s">
        <v>263</v>
      </c>
      <c r="C24" s="761" t="s">
        <v>84</v>
      </c>
      <c r="D24" s="762"/>
      <c r="E24" s="762"/>
      <c r="F24" s="762"/>
      <c r="G24" s="762"/>
      <c r="H24" s="762"/>
      <c r="I24" s="762"/>
      <c r="J24" s="762"/>
      <c r="K24" s="763"/>
      <c r="L24" s="89" t="s">
        <v>34</v>
      </c>
    </row>
    <row r="25" spans="2:11" ht="7.5" customHeight="1">
      <c r="B25" s="121"/>
      <c r="C25" s="761"/>
      <c r="D25" s="762"/>
      <c r="E25" s="762"/>
      <c r="F25" s="762"/>
      <c r="G25" s="762"/>
      <c r="H25" s="762"/>
      <c r="I25" s="762"/>
      <c r="J25" s="762"/>
      <c r="K25" s="763"/>
    </row>
    <row r="26" spans="2:12" ht="15.75" customHeight="1">
      <c r="B26" s="121" t="s">
        <v>315</v>
      </c>
      <c r="C26" s="761" t="s">
        <v>141</v>
      </c>
      <c r="D26" s="764"/>
      <c r="E26" s="764"/>
      <c r="F26" s="764"/>
      <c r="G26" s="764"/>
      <c r="H26" s="764"/>
      <c r="I26" s="764"/>
      <c r="J26" s="764"/>
      <c r="K26" s="764"/>
      <c r="L26" s="89" t="s">
        <v>80</v>
      </c>
    </row>
    <row r="27" spans="2:11" ht="7.5" customHeight="1">
      <c r="B27" s="121"/>
      <c r="C27" s="761"/>
      <c r="D27" s="762"/>
      <c r="E27" s="762"/>
      <c r="F27" s="762"/>
      <c r="G27" s="762"/>
      <c r="H27" s="762"/>
      <c r="I27" s="762"/>
      <c r="J27" s="762"/>
      <c r="K27" s="763"/>
    </row>
    <row r="28" spans="2:11" ht="15.75" customHeight="1">
      <c r="B28" s="121" t="s">
        <v>264</v>
      </c>
      <c r="C28" s="761" t="s">
        <v>132</v>
      </c>
      <c r="D28" s="762"/>
      <c r="E28" s="762"/>
      <c r="F28" s="762"/>
      <c r="G28" s="762"/>
      <c r="H28" s="762"/>
      <c r="I28" s="762"/>
      <c r="J28" s="762"/>
      <c r="K28" s="763"/>
    </row>
    <row r="29" spans="2:13" s="7" customFormat="1" ht="15">
      <c r="B29" s="12"/>
      <c r="C29" s="760"/>
      <c r="D29" s="760"/>
      <c r="E29" s="760"/>
      <c r="F29" s="760"/>
      <c r="G29" s="760"/>
      <c r="H29" s="760"/>
      <c r="I29" s="760"/>
      <c r="J29" s="760"/>
      <c r="K29" s="760"/>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A1">
      <selection activeCell="L29" sqref="L29"/>
    </sheetView>
  </sheetViews>
  <sheetFormatPr defaultColWidth="9" defaultRowHeight="12.75"/>
  <cols>
    <col min="1" max="1" width="6" style="0" customWidth="1"/>
    <col min="2" max="2" width="9.66015625" style="32"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42" t="s">
        <v>198</v>
      </c>
      <c r="D5" s="943"/>
      <c r="E5" s="943"/>
      <c r="F5" s="943"/>
      <c r="G5" s="943"/>
      <c r="H5" s="943"/>
      <c r="I5" s="943"/>
      <c r="J5" s="943"/>
      <c r="K5" s="943"/>
      <c r="L5" s="943"/>
      <c r="M5" s="943"/>
      <c r="N5" s="26"/>
      <c r="O5" s="26"/>
      <c r="P5" s="26"/>
    </row>
    <row r="6" ht="9.75" customHeight="1"/>
    <row r="7" spans="3:16" ht="17.25" customHeight="1">
      <c r="C7" s="939" t="s">
        <v>11</v>
      </c>
      <c r="D7" s="940"/>
      <c r="E7" s="940"/>
      <c r="F7" s="940"/>
      <c r="G7" s="940"/>
      <c r="H7" s="940"/>
      <c r="I7" s="940"/>
      <c r="J7" s="940"/>
      <c r="K7" s="940"/>
      <c r="L7" s="940"/>
      <c r="M7" s="940"/>
      <c r="N7" s="940"/>
      <c r="O7" s="940"/>
      <c r="P7" s="941"/>
    </row>
    <row r="8" spans="3:16" ht="25.5" customHeight="1">
      <c r="C8" s="947"/>
      <c r="D8" s="948"/>
      <c r="E8" s="948"/>
      <c r="F8" s="948"/>
      <c r="G8" s="948"/>
      <c r="H8" s="948"/>
      <c r="I8" s="948"/>
      <c r="J8" s="948"/>
      <c r="K8" s="948"/>
      <c r="L8" s="948"/>
      <c r="M8" s="948"/>
      <c r="N8" s="948"/>
      <c r="O8" s="948"/>
      <c r="P8" s="949"/>
    </row>
    <row r="9" spans="3:16" ht="39" customHeight="1">
      <c r="C9" s="944" t="s">
        <v>252</v>
      </c>
      <c r="D9" s="945"/>
      <c r="E9" s="945"/>
      <c r="F9" s="945"/>
      <c r="G9" s="945"/>
      <c r="H9" s="945"/>
      <c r="I9" s="945"/>
      <c r="J9" s="945"/>
      <c r="K9" s="945"/>
      <c r="L9" s="945"/>
      <c r="M9" s="945"/>
      <c r="N9" s="945"/>
      <c r="O9" s="945"/>
      <c r="P9" s="946"/>
    </row>
    <row r="10" spans="3:16" ht="15" customHeight="1">
      <c r="C10" s="929"/>
      <c r="D10" s="930"/>
      <c r="E10" s="930"/>
      <c r="F10" s="930"/>
      <c r="G10" s="930"/>
      <c r="H10" s="930"/>
      <c r="I10" s="930"/>
      <c r="J10" s="930"/>
      <c r="K10" s="930"/>
      <c r="L10" s="930"/>
      <c r="M10" s="930"/>
      <c r="N10" s="930"/>
      <c r="O10" s="930"/>
      <c r="P10" s="931"/>
    </row>
    <row r="11" spans="3:16" ht="15" customHeight="1">
      <c r="C11" s="929"/>
      <c r="D11" s="930"/>
      <c r="E11" s="930"/>
      <c r="F11" s="930"/>
      <c r="G11" s="930"/>
      <c r="H11" s="930"/>
      <c r="I11" s="930"/>
      <c r="J11" s="930"/>
      <c r="K11" s="930"/>
      <c r="L11" s="930"/>
      <c r="M11" s="930"/>
      <c r="N11" s="930"/>
      <c r="O11" s="930"/>
      <c r="P11" s="931"/>
    </row>
    <row r="12" spans="3:16" ht="15" customHeight="1">
      <c r="C12" s="929"/>
      <c r="D12" s="930"/>
      <c r="E12" s="930"/>
      <c r="F12" s="930"/>
      <c r="G12" s="930"/>
      <c r="H12" s="930"/>
      <c r="I12" s="930"/>
      <c r="J12" s="930"/>
      <c r="K12" s="930"/>
      <c r="L12" s="930"/>
      <c r="M12" s="930"/>
      <c r="N12" s="930"/>
      <c r="O12" s="930"/>
      <c r="P12" s="931"/>
    </row>
    <row r="13" spans="3:16" ht="15" customHeight="1">
      <c r="C13" s="929"/>
      <c r="D13" s="932"/>
      <c r="E13" s="932"/>
      <c r="F13" s="932"/>
      <c r="G13" s="932"/>
      <c r="H13" s="932"/>
      <c r="I13" s="932"/>
      <c r="J13" s="932"/>
      <c r="K13" s="932"/>
      <c r="L13" s="932"/>
      <c r="M13" s="932"/>
      <c r="N13" s="932"/>
      <c r="O13" s="932"/>
      <c r="P13" s="933"/>
    </row>
    <row r="14" spans="3:16" ht="15" customHeight="1">
      <c r="C14" s="929"/>
      <c r="D14" s="930"/>
      <c r="E14" s="930"/>
      <c r="F14" s="930"/>
      <c r="G14" s="930"/>
      <c r="H14" s="930"/>
      <c r="I14" s="930"/>
      <c r="J14" s="930"/>
      <c r="K14" s="930"/>
      <c r="L14" s="930"/>
      <c r="M14" s="930"/>
      <c r="N14" s="930"/>
      <c r="O14" s="930"/>
      <c r="P14" s="931"/>
    </row>
    <row r="15" spans="3:16" ht="15" customHeight="1">
      <c r="C15" s="929"/>
      <c r="D15" s="930"/>
      <c r="E15" s="930"/>
      <c r="F15" s="930"/>
      <c r="G15" s="930"/>
      <c r="H15" s="930"/>
      <c r="I15" s="930"/>
      <c r="J15" s="930"/>
      <c r="K15" s="930"/>
      <c r="L15" s="930"/>
      <c r="M15" s="930"/>
      <c r="N15" s="930"/>
      <c r="O15" s="930"/>
      <c r="P15" s="931"/>
    </row>
    <row r="16" spans="3:16" ht="15" customHeight="1">
      <c r="C16" s="929"/>
      <c r="D16" s="930"/>
      <c r="E16" s="930"/>
      <c r="F16" s="930"/>
      <c r="G16" s="930"/>
      <c r="H16" s="930"/>
      <c r="I16" s="930"/>
      <c r="J16" s="930"/>
      <c r="K16" s="930"/>
      <c r="L16" s="930"/>
      <c r="M16" s="930"/>
      <c r="N16" s="930"/>
      <c r="O16" s="930"/>
      <c r="P16" s="931"/>
    </row>
    <row r="17" spans="3:16" ht="15" customHeight="1">
      <c r="C17" s="929"/>
      <c r="D17" s="932"/>
      <c r="E17" s="932"/>
      <c r="F17" s="932"/>
      <c r="G17" s="932"/>
      <c r="H17" s="932"/>
      <c r="I17" s="932"/>
      <c r="J17" s="932"/>
      <c r="K17" s="932"/>
      <c r="L17" s="932"/>
      <c r="M17" s="932"/>
      <c r="N17" s="932"/>
      <c r="O17" s="932"/>
      <c r="P17" s="933"/>
    </row>
    <row r="18" spans="3:16" ht="15" customHeight="1">
      <c r="C18" s="929"/>
      <c r="D18" s="932"/>
      <c r="E18" s="932"/>
      <c r="F18" s="932"/>
      <c r="G18" s="932"/>
      <c r="H18" s="932"/>
      <c r="I18" s="932"/>
      <c r="J18" s="932"/>
      <c r="K18" s="932"/>
      <c r="L18" s="932"/>
      <c r="M18" s="932"/>
      <c r="N18" s="932"/>
      <c r="O18" s="932"/>
      <c r="P18" s="933"/>
    </row>
    <row r="19" spans="3:16" ht="15" customHeight="1">
      <c r="C19" s="939" t="s">
        <v>43</v>
      </c>
      <c r="D19" s="940"/>
      <c r="E19" s="940"/>
      <c r="F19" s="940"/>
      <c r="G19" s="940"/>
      <c r="H19" s="940"/>
      <c r="I19" s="940"/>
      <c r="J19" s="940"/>
      <c r="K19" s="940"/>
      <c r="L19" s="940"/>
      <c r="M19" s="940"/>
      <c r="N19" s="940"/>
      <c r="O19" s="940"/>
      <c r="P19" s="941"/>
    </row>
    <row r="20" spans="3:16" ht="15" customHeight="1">
      <c r="C20" s="929"/>
      <c r="D20" s="934"/>
      <c r="E20" s="934"/>
      <c r="F20" s="934"/>
      <c r="G20" s="934"/>
      <c r="H20" s="934"/>
      <c r="I20" s="934"/>
      <c r="J20" s="934"/>
      <c r="K20" s="934"/>
      <c r="L20" s="934"/>
      <c r="M20" s="934"/>
      <c r="N20" s="934"/>
      <c r="O20" s="934"/>
      <c r="P20" s="935"/>
    </row>
    <row r="21" spans="3:16" ht="15" customHeight="1">
      <c r="C21" s="929"/>
      <c r="D21" s="934"/>
      <c r="E21" s="934"/>
      <c r="F21" s="934"/>
      <c r="G21" s="934"/>
      <c r="H21" s="934"/>
      <c r="I21" s="934"/>
      <c r="J21" s="934"/>
      <c r="K21" s="934"/>
      <c r="L21" s="934"/>
      <c r="M21" s="934"/>
      <c r="N21" s="934"/>
      <c r="O21" s="934"/>
      <c r="P21" s="935"/>
    </row>
    <row r="22" spans="3:16" ht="15" customHeight="1">
      <c r="C22" s="929"/>
      <c r="D22" s="934"/>
      <c r="E22" s="934"/>
      <c r="F22" s="934"/>
      <c r="G22" s="934"/>
      <c r="H22" s="934"/>
      <c r="I22" s="934"/>
      <c r="J22" s="934"/>
      <c r="K22" s="934"/>
      <c r="L22" s="934"/>
      <c r="M22" s="934"/>
      <c r="N22" s="934"/>
      <c r="O22" s="934"/>
      <c r="P22" s="935"/>
    </row>
    <row r="23" spans="3:16" ht="15" customHeight="1">
      <c r="C23" s="929"/>
      <c r="D23" s="934"/>
      <c r="E23" s="934"/>
      <c r="F23" s="934"/>
      <c r="G23" s="934"/>
      <c r="H23" s="934"/>
      <c r="I23" s="934"/>
      <c r="J23" s="934"/>
      <c r="K23" s="934"/>
      <c r="L23" s="934"/>
      <c r="M23" s="934"/>
      <c r="N23" s="934"/>
      <c r="O23" s="934"/>
      <c r="P23" s="935"/>
    </row>
    <row r="24" spans="3:16" ht="15" customHeight="1">
      <c r="C24" s="936"/>
      <c r="D24" s="937"/>
      <c r="E24" s="937"/>
      <c r="F24" s="937"/>
      <c r="G24" s="937"/>
      <c r="H24" s="937"/>
      <c r="I24" s="937"/>
      <c r="J24" s="937"/>
      <c r="K24" s="937"/>
      <c r="L24" s="937"/>
      <c r="M24" s="937"/>
      <c r="N24" s="937"/>
      <c r="O24" s="937"/>
      <c r="P24" s="938"/>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58">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293</v>
      </c>
    </row>
    <row r="2" ht="9.75" customHeight="1"/>
    <row r="3" spans="2:11" s="17" customFormat="1" ht="16.5" customHeight="1">
      <c r="B3" s="784" t="s">
        <v>310</v>
      </c>
      <c r="C3" s="784"/>
      <c r="D3" s="784"/>
      <c r="E3" s="784"/>
      <c r="F3" s="784"/>
      <c r="G3" s="784"/>
      <c r="H3" s="784"/>
      <c r="I3" s="784"/>
      <c r="J3" s="784"/>
      <c r="K3" s="784"/>
    </row>
    <row r="4" ht="9.75" customHeight="1">
      <c r="C4" s="13"/>
    </row>
    <row r="5" spans="2:11" s="17" customFormat="1" ht="15.75">
      <c r="B5" s="787" t="s">
        <v>311</v>
      </c>
      <c r="C5" s="787"/>
      <c r="D5" s="787"/>
      <c r="E5" s="787"/>
      <c r="F5" s="787"/>
      <c r="G5" s="787"/>
      <c r="H5" s="787"/>
      <c r="I5" s="787"/>
      <c r="J5" s="787"/>
      <c r="K5" s="787"/>
    </row>
    <row r="6" spans="2:10" ht="7.5" customHeight="1">
      <c r="B6" s="14"/>
      <c r="C6" s="15"/>
      <c r="D6" s="9"/>
      <c r="F6" s="9"/>
      <c r="G6" s="6"/>
      <c r="H6" s="6"/>
      <c r="I6" s="6"/>
      <c r="J6" s="6"/>
    </row>
    <row r="7" spans="2:11" s="10" customFormat="1" ht="40.5" customHeight="1">
      <c r="B7" s="785" t="s">
        <v>591</v>
      </c>
      <c r="C7" s="785"/>
      <c r="D7" s="785"/>
      <c r="E7" s="785"/>
      <c r="F7" s="785"/>
      <c r="G7" s="785"/>
      <c r="H7" s="785"/>
      <c r="I7" s="785"/>
      <c r="J7" s="785"/>
      <c r="K7" s="785"/>
    </row>
    <row r="8" spans="2:11" s="10" customFormat="1" ht="7.5" customHeight="1">
      <c r="B8" s="39"/>
      <c r="C8" s="39"/>
      <c r="D8" s="39"/>
      <c r="E8" s="39"/>
      <c r="F8" s="39"/>
      <c r="G8" s="39"/>
      <c r="H8" s="39"/>
      <c r="I8" s="39"/>
      <c r="J8" s="39"/>
      <c r="K8" s="39"/>
    </row>
    <row r="9" spans="2:11" s="10" customFormat="1" ht="27" customHeight="1">
      <c r="B9" s="785" t="s">
        <v>175</v>
      </c>
      <c r="C9" s="791"/>
      <c r="D9" s="791"/>
      <c r="E9" s="791"/>
      <c r="F9" s="791"/>
      <c r="G9" s="791"/>
      <c r="H9" s="791"/>
      <c r="I9" s="791"/>
      <c r="J9" s="791"/>
      <c r="K9" s="791"/>
    </row>
    <row r="10" spans="2:11" s="10" customFormat="1" ht="4.5" customHeight="1">
      <c r="B10" s="122"/>
      <c r="C10" s="122"/>
      <c r="D10" s="122"/>
      <c r="E10" s="122"/>
      <c r="F10" s="122"/>
      <c r="G10" s="122"/>
      <c r="H10" s="122"/>
      <c r="I10" s="122"/>
      <c r="J10" s="122"/>
      <c r="K10" s="122"/>
    </row>
    <row r="11" spans="2:11" s="2" customFormat="1" ht="26.25" customHeight="1">
      <c r="B11" s="782" t="s">
        <v>645</v>
      </c>
      <c r="C11" s="782"/>
      <c r="D11" s="782"/>
      <c r="E11" s="782"/>
      <c r="F11" s="782"/>
      <c r="G11" s="782"/>
      <c r="H11" s="782"/>
      <c r="I11" s="782"/>
      <c r="J11" s="782"/>
      <c r="K11" s="782"/>
    </row>
    <row r="12" spans="2:11" s="10" customFormat="1" ht="4.5" customHeight="1">
      <c r="B12" s="39"/>
      <c r="C12" s="39"/>
      <c r="D12" s="39"/>
      <c r="E12" s="39"/>
      <c r="F12" s="39"/>
      <c r="G12" s="39"/>
      <c r="H12" s="39"/>
      <c r="I12" s="39"/>
      <c r="J12" s="39"/>
      <c r="K12" s="39"/>
    </row>
    <row r="13" spans="2:11" s="10" customFormat="1" ht="18.75" customHeight="1">
      <c r="B13" s="772" t="s">
        <v>174</v>
      </c>
      <c r="C13" s="772"/>
      <c r="D13" s="772"/>
      <c r="E13" s="772"/>
      <c r="F13" s="772"/>
      <c r="G13" s="772"/>
      <c r="H13" s="772"/>
      <c r="I13" s="772"/>
      <c r="J13" s="772"/>
      <c r="K13" s="772"/>
    </row>
    <row r="14" spans="2:11" s="10" customFormat="1" ht="4.5" customHeight="1">
      <c r="B14" s="39"/>
      <c r="C14" s="39"/>
      <c r="D14" s="39"/>
      <c r="E14" s="39"/>
      <c r="F14" s="39"/>
      <c r="G14" s="39"/>
      <c r="H14" s="39"/>
      <c r="I14" s="39"/>
      <c r="J14" s="39"/>
      <c r="K14" s="39"/>
    </row>
    <row r="15" spans="2:11" s="50" customFormat="1" ht="26.25" customHeight="1">
      <c r="B15" s="790" t="s">
        <v>584</v>
      </c>
      <c r="C15" s="790"/>
      <c r="D15" s="790"/>
      <c r="E15" s="790"/>
      <c r="F15" s="790"/>
      <c r="G15" s="790"/>
      <c r="H15" s="790"/>
      <c r="I15" s="790"/>
      <c r="J15" s="790"/>
      <c r="K15" s="790"/>
    </row>
    <row r="16" spans="2:11" s="10" customFormat="1" ht="4.5" customHeight="1">
      <c r="B16" s="39"/>
      <c r="C16" s="39"/>
      <c r="D16" s="39"/>
      <c r="E16" s="39"/>
      <c r="F16" s="39"/>
      <c r="G16" s="39"/>
      <c r="H16" s="39"/>
      <c r="I16" s="39"/>
      <c r="J16" s="39"/>
      <c r="K16" s="39"/>
    </row>
    <row r="17" spans="2:11" s="10" customFormat="1" ht="29.25" customHeight="1">
      <c r="B17" s="785" t="s">
        <v>42</v>
      </c>
      <c r="C17" s="785"/>
      <c r="D17" s="785"/>
      <c r="E17" s="785"/>
      <c r="F17" s="785"/>
      <c r="G17" s="785"/>
      <c r="H17" s="785"/>
      <c r="I17" s="785"/>
      <c r="J17" s="785"/>
      <c r="K17" s="785"/>
    </row>
    <row r="18" spans="2:11" s="10" customFormat="1" ht="4.5" customHeight="1">
      <c r="B18" s="122"/>
      <c r="C18" s="122"/>
      <c r="D18" s="122"/>
      <c r="E18" s="122"/>
      <c r="F18" s="122"/>
      <c r="G18" s="122"/>
      <c r="H18" s="122"/>
      <c r="I18" s="122"/>
      <c r="J18" s="122"/>
      <c r="K18" s="122"/>
    </row>
    <row r="19" spans="2:11" s="10" customFormat="1" ht="26.25" customHeight="1">
      <c r="B19" s="785" t="s">
        <v>189</v>
      </c>
      <c r="C19" s="785"/>
      <c r="D19" s="785"/>
      <c r="E19" s="785"/>
      <c r="F19" s="785"/>
      <c r="G19" s="785"/>
      <c r="H19" s="785"/>
      <c r="I19" s="785"/>
      <c r="J19" s="785"/>
      <c r="K19" s="785"/>
    </row>
    <row r="20" spans="2:11" s="10" customFormat="1" ht="4.5" customHeight="1">
      <c r="B20" s="115"/>
      <c r="C20" s="115"/>
      <c r="D20" s="115"/>
      <c r="E20" s="115"/>
      <c r="F20" s="115"/>
      <c r="G20" s="115"/>
      <c r="H20" s="115"/>
      <c r="I20" s="115"/>
      <c r="J20" s="115"/>
      <c r="K20" s="115"/>
    </row>
    <row r="21" spans="2:11" s="10" customFormat="1" ht="26.25" customHeight="1">
      <c r="B21" s="785" t="s">
        <v>513</v>
      </c>
      <c r="C21" s="785"/>
      <c r="D21" s="785"/>
      <c r="E21" s="785"/>
      <c r="F21" s="785"/>
      <c r="G21" s="785"/>
      <c r="H21" s="785"/>
      <c r="I21" s="785"/>
      <c r="J21" s="785"/>
      <c r="K21" s="785"/>
    </row>
    <row r="22" spans="2:11" s="10" customFormat="1" ht="26.25" customHeight="1">
      <c r="B22" s="779" t="s">
        <v>74</v>
      </c>
      <c r="C22" s="779"/>
      <c r="D22" s="779"/>
      <c r="E22" s="779"/>
      <c r="F22" s="779"/>
      <c r="G22" s="779"/>
      <c r="H22" s="779"/>
      <c r="I22" s="779"/>
      <c r="J22" s="779"/>
      <c r="K22" s="779"/>
    </row>
    <row r="23" spans="2:11" s="10" customFormat="1" ht="6.75" customHeight="1">
      <c r="B23" s="124"/>
      <c r="C23" s="39"/>
      <c r="D23" s="39"/>
      <c r="E23" s="39"/>
      <c r="F23" s="39"/>
      <c r="G23" s="39"/>
      <c r="H23" s="39"/>
      <c r="I23" s="39"/>
      <c r="J23" s="39"/>
      <c r="K23" s="39"/>
    </row>
    <row r="24" spans="2:11" s="10" customFormat="1" ht="38.25" customHeight="1">
      <c r="B24" s="785" t="s">
        <v>583</v>
      </c>
      <c r="C24" s="785"/>
      <c r="D24" s="785"/>
      <c r="E24" s="789"/>
      <c r="F24" s="789"/>
      <c r="G24" s="789"/>
      <c r="H24" s="789"/>
      <c r="I24" s="789"/>
      <c r="J24" s="789"/>
      <c r="K24" s="789"/>
    </row>
    <row r="25" spans="2:11" s="10" customFormat="1" ht="8.25" customHeight="1">
      <c r="B25" s="785"/>
      <c r="C25" s="786"/>
      <c r="D25" s="786"/>
      <c r="E25" s="786"/>
      <c r="F25" s="786"/>
      <c r="G25" s="786"/>
      <c r="H25" s="786"/>
      <c r="I25" s="786"/>
      <c r="J25" s="786"/>
      <c r="K25" s="786"/>
    </row>
    <row r="26" spans="2:11" ht="0.75" customHeight="1">
      <c r="B26" s="157"/>
      <c r="C26" s="158"/>
      <c r="D26" s="158"/>
      <c r="E26" s="158"/>
      <c r="F26" s="158"/>
      <c r="G26" s="158"/>
      <c r="H26" s="158"/>
      <c r="I26" s="158"/>
      <c r="J26" s="158"/>
      <c r="K26" s="159"/>
    </row>
    <row r="27" spans="2:11" s="17" customFormat="1" ht="15.75">
      <c r="B27" s="787" t="s">
        <v>312</v>
      </c>
      <c r="C27" s="788"/>
      <c r="D27" s="788"/>
      <c r="E27" s="788"/>
      <c r="F27" s="788"/>
      <c r="G27" s="788"/>
      <c r="H27" s="788"/>
      <c r="I27" s="788"/>
      <c r="J27" s="788"/>
      <c r="K27" s="788"/>
    </row>
    <row r="28" spans="2:11" ht="7.5" customHeight="1">
      <c r="B28" s="90"/>
      <c r="C28" s="37"/>
      <c r="D28" s="90"/>
      <c r="E28" s="37"/>
      <c r="F28" s="90"/>
      <c r="G28" s="37"/>
      <c r="H28" s="90"/>
      <c r="I28" s="37"/>
      <c r="J28" s="90"/>
      <c r="K28" s="37"/>
    </row>
    <row r="29" spans="2:11" ht="7.5" customHeight="1">
      <c r="B29" s="781"/>
      <c r="C29" s="781"/>
      <c r="D29" s="781"/>
      <c r="E29" s="781"/>
      <c r="F29" s="781"/>
      <c r="G29" s="781"/>
      <c r="H29" s="781"/>
      <c r="I29" s="781"/>
      <c r="J29" s="781"/>
      <c r="K29" s="781"/>
    </row>
    <row r="30" spans="2:11" s="50" customFormat="1" ht="15.75" customHeight="1">
      <c r="B30" s="126" t="s">
        <v>313</v>
      </c>
      <c r="C30" s="782" t="s">
        <v>179</v>
      </c>
      <c r="D30" s="782"/>
      <c r="E30" s="782"/>
      <c r="F30" s="782"/>
      <c r="G30" s="782"/>
      <c r="H30" s="782"/>
      <c r="I30" s="782"/>
      <c r="J30" s="782"/>
      <c r="K30" s="782"/>
    </row>
    <row r="31" spans="2:11" s="50" customFormat="1" ht="26.25" customHeight="1">
      <c r="B31" s="126" t="s">
        <v>313</v>
      </c>
      <c r="C31" s="780" t="s">
        <v>592</v>
      </c>
      <c r="D31" s="780"/>
      <c r="E31" s="780"/>
      <c r="F31" s="780"/>
      <c r="G31" s="780"/>
      <c r="H31" s="780"/>
      <c r="I31" s="780"/>
      <c r="J31" s="780"/>
      <c r="K31" s="780"/>
    </row>
    <row r="32" spans="2:11" s="40" customFormat="1" ht="51" customHeight="1">
      <c r="B32" s="126" t="s">
        <v>313</v>
      </c>
      <c r="C32" s="780" t="s">
        <v>101</v>
      </c>
      <c r="D32" s="780"/>
      <c r="E32" s="780"/>
      <c r="F32" s="780"/>
      <c r="G32" s="780"/>
      <c r="H32" s="780"/>
      <c r="I32" s="780"/>
      <c r="J32" s="780"/>
      <c r="K32" s="780"/>
    </row>
    <row r="33" spans="2:11" s="50" customFormat="1" ht="26.25" customHeight="1">
      <c r="B33" s="127" t="s">
        <v>313</v>
      </c>
      <c r="C33" s="783" t="s">
        <v>133</v>
      </c>
      <c r="D33" s="783"/>
      <c r="E33" s="783"/>
      <c r="F33" s="783"/>
      <c r="G33" s="783"/>
      <c r="H33" s="783"/>
      <c r="I33" s="783"/>
      <c r="J33" s="783"/>
      <c r="K33" s="783"/>
    </row>
    <row r="34" spans="2:11" s="50" customFormat="1" ht="27.75" customHeight="1">
      <c r="B34" s="127" t="s">
        <v>313</v>
      </c>
      <c r="C34" s="793" t="s">
        <v>180</v>
      </c>
      <c r="D34" s="793"/>
      <c r="E34" s="793"/>
      <c r="F34" s="793"/>
      <c r="G34" s="793"/>
      <c r="H34" s="793"/>
      <c r="I34" s="793"/>
      <c r="J34" s="793"/>
      <c r="K34" s="793"/>
    </row>
    <row r="35" spans="2:11" s="10" customFormat="1" ht="15.75" customHeight="1">
      <c r="B35" s="127" t="s">
        <v>313</v>
      </c>
      <c r="C35" s="772" t="s">
        <v>181</v>
      </c>
      <c r="D35" s="772"/>
      <c r="E35" s="772"/>
      <c r="F35" s="772"/>
      <c r="G35" s="772"/>
      <c r="H35" s="772"/>
      <c r="I35" s="772"/>
      <c r="J35" s="772"/>
      <c r="K35" s="772"/>
    </row>
    <row r="36" spans="2:11" s="50" customFormat="1" ht="15.75" customHeight="1">
      <c r="B36" s="127" t="s">
        <v>313</v>
      </c>
      <c r="C36" s="771" t="s">
        <v>182</v>
      </c>
      <c r="D36" s="771"/>
      <c r="E36" s="771"/>
      <c r="F36" s="771"/>
      <c r="G36" s="771"/>
      <c r="H36" s="771"/>
      <c r="I36" s="771"/>
      <c r="J36" s="771"/>
      <c r="K36" s="771"/>
    </row>
    <row r="37" spans="2:11" s="50" customFormat="1" ht="14.25" customHeight="1">
      <c r="B37" s="127" t="s">
        <v>313</v>
      </c>
      <c r="C37" s="771" t="s">
        <v>36</v>
      </c>
      <c r="D37" s="771"/>
      <c r="E37" s="771"/>
      <c r="F37" s="771"/>
      <c r="G37" s="771"/>
      <c r="H37" s="771"/>
      <c r="I37" s="771"/>
      <c r="J37" s="771"/>
      <c r="K37" s="771"/>
    </row>
    <row r="38" spans="2:11" s="10" customFormat="1" ht="10.5" customHeight="1">
      <c r="B38" s="127"/>
      <c r="C38" s="772"/>
      <c r="D38" s="772"/>
      <c r="E38" s="772"/>
      <c r="F38" s="772"/>
      <c r="G38" s="772"/>
      <c r="H38" s="772"/>
      <c r="I38" s="772"/>
      <c r="J38" s="772"/>
      <c r="K38" s="772"/>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75">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94" t="s">
        <v>596</v>
      </c>
      <c r="D44" s="794"/>
      <c r="E44" s="794"/>
      <c r="F44" s="794"/>
      <c r="G44" s="794"/>
      <c r="H44" s="794"/>
      <c r="I44" s="794"/>
      <c r="J44" s="794"/>
      <c r="K44" s="794"/>
    </row>
    <row r="45" spans="2:11" s="37" customFormat="1" ht="9.75" customHeight="1">
      <c r="B45" s="133"/>
      <c r="C45" s="134"/>
      <c r="D45" s="135"/>
      <c r="E45" s="135"/>
      <c r="F45" s="135"/>
      <c r="G45" s="135"/>
      <c r="H45" s="135"/>
      <c r="I45" s="135"/>
      <c r="J45" s="135"/>
      <c r="K45" s="135"/>
    </row>
    <row r="46" spans="2:11" s="17" customFormat="1" ht="15.75" customHeight="1">
      <c r="B46" s="769" t="s">
        <v>485</v>
      </c>
      <c r="C46" s="770"/>
      <c r="D46" s="770"/>
      <c r="E46" s="770"/>
      <c r="F46" s="770"/>
      <c r="G46" s="770"/>
      <c r="H46" s="770"/>
      <c r="I46" s="770"/>
      <c r="J46" s="770"/>
      <c r="K46" s="770"/>
    </row>
    <row r="47" spans="2:11" ht="7.5" customHeight="1">
      <c r="B47" s="11"/>
      <c r="C47" s="11"/>
      <c r="D47" s="136"/>
      <c r="E47" s="136"/>
      <c r="F47" s="11"/>
      <c r="G47" s="136"/>
      <c r="H47" s="136"/>
      <c r="I47" s="136"/>
      <c r="J47" s="136"/>
      <c r="K47" s="125"/>
    </row>
    <row r="48" spans="2:12" ht="24" customHeight="1">
      <c r="B48" s="776" t="s">
        <v>178</v>
      </c>
      <c r="C48" s="777"/>
      <c r="D48" s="777"/>
      <c r="E48" s="777"/>
      <c r="F48" s="777"/>
      <c r="G48" s="777"/>
      <c r="H48" s="777"/>
      <c r="I48" s="777"/>
      <c r="J48" s="777"/>
      <c r="K48" s="778"/>
      <c r="L48" s="22"/>
    </row>
    <row r="49" spans="2:11" ht="81" customHeight="1">
      <c r="B49" s="773" t="s">
        <v>245</v>
      </c>
      <c r="C49" s="774"/>
      <c r="D49" s="774"/>
      <c r="E49" s="774"/>
      <c r="F49" s="774"/>
      <c r="G49" s="774"/>
      <c r="H49" s="774"/>
      <c r="I49" s="774"/>
      <c r="J49" s="774"/>
      <c r="K49" s="775"/>
    </row>
    <row r="50" spans="2:11" ht="24" customHeight="1">
      <c r="B50" s="776" t="s">
        <v>86</v>
      </c>
      <c r="C50" s="777"/>
      <c r="D50" s="777"/>
      <c r="E50" s="777"/>
      <c r="F50" s="777"/>
      <c r="G50" s="777"/>
      <c r="H50" s="777"/>
      <c r="I50" s="777"/>
      <c r="J50" s="777"/>
      <c r="K50" s="778"/>
    </row>
    <row r="51" spans="2:11" ht="79.5" customHeight="1">
      <c r="B51" s="773" t="s">
        <v>212</v>
      </c>
      <c r="C51" s="774"/>
      <c r="D51" s="774"/>
      <c r="E51" s="774"/>
      <c r="F51" s="774"/>
      <c r="G51" s="774"/>
      <c r="H51" s="774"/>
      <c r="I51" s="774"/>
      <c r="J51" s="774"/>
      <c r="K51" s="775"/>
    </row>
    <row r="52" spans="2:11" ht="24" customHeight="1">
      <c r="B52" s="776" t="s">
        <v>197</v>
      </c>
      <c r="C52" s="777"/>
      <c r="D52" s="777"/>
      <c r="E52" s="777"/>
      <c r="F52" s="777"/>
      <c r="G52" s="777"/>
      <c r="H52" s="777"/>
      <c r="I52" s="777"/>
      <c r="J52" s="777"/>
      <c r="K52" s="778"/>
    </row>
    <row r="53" spans="2:11" ht="52.5" customHeight="1">
      <c r="B53" s="773" t="s">
        <v>103</v>
      </c>
      <c r="C53" s="774"/>
      <c r="D53" s="774"/>
      <c r="E53" s="774"/>
      <c r="F53" s="774"/>
      <c r="G53" s="774"/>
      <c r="H53" s="774"/>
      <c r="I53" s="774"/>
      <c r="J53" s="774"/>
      <c r="K53" s="775"/>
    </row>
    <row r="54" spans="2:11" ht="24" customHeight="1">
      <c r="B54" s="776" t="s">
        <v>123</v>
      </c>
      <c r="C54" s="777"/>
      <c r="D54" s="777"/>
      <c r="E54" s="777"/>
      <c r="F54" s="777"/>
      <c r="G54" s="777"/>
      <c r="H54" s="777"/>
      <c r="I54" s="777"/>
      <c r="J54" s="777"/>
      <c r="K54" s="778"/>
    </row>
    <row r="55" spans="2:11" ht="51.75" customHeight="1">
      <c r="B55" s="773" t="s">
        <v>204</v>
      </c>
      <c r="C55" s="774"/>
      <c r="D55" s="774"/>
      <c r="E55" s="774"/>
      <c r="F55" s="774"/>
      <c r="G55" s="774"/>
      <c r="H55" s="774"/>
      <c r="I55" s="774"/>
      <c r="J55" s="774"/>
      <c r="K55" s="775"/>
    </row>
    <row r="56" spans="2:11" ht="24" customHeight="1">
      <c r="B56" s="776" t="s">
        <v>124</v>
      </c>
      <c r="C56" s="777"/>
      <c r="D56" s="777"/>
      <c r="E56" s="777"/>
      <c r="F56" s="777"/>
      <c r="G56" s="777"/>
      <c r="H56" s="777"/>
      <c r="I56" s="777"/>
      <c r="J56" s="777"/>
      <c r="K56" s="778"/>
    </row>
    <row r="57" spans="2:11" ht="27" customHeight="1">
      <c r="B57" s="773" t="s">
        <v>10</v>
      </c>
      <c r="C57" s="774"/>
      <c r="D57" s="774"/>
      <c r="E57" s="774"/>
      <c r="F57" s="774"/>
      <c r="G57" s="774"/>
      <c r="H57" s="774"/>
      <c r="I57" s="774"/>
      <c r="J57" s="774"/>
      <c r="K57" s="775"/>
    </row>
    <row r="58" spans="2:11" s="17" customFormat="1" ht="24" customHeight="1">
      <c r="B58" s="776" t="s">
        <v>198</v>
      </c>
      <c r="C58" s="777"/>
      <c r="D58" s="777"/>
      <c r="E58" s="777"/>
      <c r="F58" s="777"/>
      <c r="G58" s="777"/>
      <c r="H58" s="777"/>
      <c r="I58" s="777"/>
      <c r="J58" s="777"/>
      <c r="K58" s="778"/>
    </row>
    <row r="59" spans="2:11" ht="52.5" customHeight="1">
      <c r="B59" s="773" t="s">
        <v>104</v>
      </c>
      <c r="C59" s="774"/>
      <c r="D59" s="774"/>
      <c r="E59" s="774"/>
      <c r="F59" s="774"/>
      <c r="G59" s="774"/>
      <c r="H59" s="774"/>
      <c r="I59" s="774"/>
      <c r="J59" s="774"/>
      <c r="K59" s="775"/>
    </row>
    <row r="60" spans="2:11" ht="24" customHeight="1">
      <c r="B60" s="128"/>
      <c r="C60" s="128"/>
      <c r="D60" s="128"/>
      <c r="E60" s="128"/>
      <c r="F60" s="128"/>
      <c r="G60" s="128"/>
      <c r="H60" s="128"/>
      <c r="I60" s="128"/>
      <c r="J60" s="128"/>
      <c r="K60" s="128"/>
    </row>
    <row r="61" spans="2:11" ht="15.75" customHeight="1">
      <c r="B61" s="792" t="s">
        <v>269</v>
      </c>
      <c r="C61" s="792"/>
      <c r="D61" s="792"/>
      <c r="E61" s="792"/>
      <c r="F61" s="792"/>
      <c r="G61" s="792"/>
      <c r="H61" s="792"/>
      <c r="I61" s="792"/>
      <c r="J61" s="792"/>
      <c r="K61" s="792"/>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34">
      <selection activeCell="D38" sqref="D38"/>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293</v>
      </c>
    </row>
    <row r="2" ht="7.5" customHeight="1"/>
    <row r="3" spans="2:4" ht="18">
      <c r="B3" s="795" t="s">
        <v>305</v>
      </c>
      <c r="C3" s="795"/>
      <c r="D3" s="795"/>
    </row>
    <row r="4" spans="2:4" ht="12.75" customHeight="1">
      <c r="B4" s="97"/>
      <c r="C4" s="137"/>
      <c r="D4" s="138"/>
    </row>
    <row r="5" spans="2:4" ht="15.75">
      <c r="B5" s="796" t="s">
        <v>131</v>
      </c>
      <c r="C5" s="796"/>
      <c r="D5" s="796"/>
    </row>
    <row r="6" spans="2:7" s="11" customFormat="1" ht="40.5" customHeight="1" thickBot="1">
      <c r="B6" s="798" t="s">
        <v>558</v>
      </c>
      <c r="C6" s="799"/>
      <c r="D6" s="799"/>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97" t="s">
        <v>303</v>
      </c>
      <c r="C17" s="797"/>
      <c r="D17" s="797"/>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68.25" customHeight="1">
      <c r="B33" s="602" t="s">
        <v>203</v>
      </c>
      <c r="C33" s="601" t="s">
        <v>632</v>
      </c>
      <c r="D33" s="618" t="s">
        <v>633</v>
      </c>
      <c r="E33" s="98"/>
      <c r="F33" s="99"/>
      <c r="G33" s="99"/>
    </row>
    <row r="34" spans="2:7" s="11" customFormat="1" ht="25.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53.25"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5.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25.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38.2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1">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741" t="s">
        <v>553</v>
      </c>
      <c r="C71" s="742" t="s">
        <v>128</v>
      </c>
      <c r="D71" s="743" t="s">
        <v>272</v>
      </c>
      <c r="E71" s="98">
        <v>34</v>
      </c>
      <c r="F71" s="99"/>
      <c r="G71" s="99"/>
    </row>
    <row r="72" spans="2:5" ht="56.25" customHeight="1">
      <c r="B72" s="741" t="s">
        <v>554</v>
      </c>
      <c r="C72" s="742" t="s">
        <v>129</v>
      </c>
      <c r="D72" s="743"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8.2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813" t="s">
        <v>194</v>
      </c>
      <c r="E2" s="813"/>
      <c r="F2" s="813"/>
      <c r="G2" s="813"/>
      <c r="H2" s="813"/>
      <c r="I2" s="813"/>
      <c r="J2" s="813"/>
      <c r="K2" s="813"/>
      <c r="L2" s="813"/>
      <c r="M2" s="813"/>
      <c r="N2" s="813"/>
      <c r="O2" s="813"/>
      <c r="P2" s="813"/>
      <c r="Q2" s="813"/>
      <c r="R2" s="813"/>
      <c r="S2" s="813"/>
      <c r="T2" s="813"/>
      <c r="U2" s="813"/>
      <c r="V2" s="813"/>
      <c r="W2" s="813"/>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814" t="s">
        <v>253</v>
      </c>
      <c r="E3" s="814"/>
      <c r="F3" s="814"/>
      <c r="G3" s="814"/>
      <c r="H3" s="814"/>
      <c r="I3" s="814"/>
      <c r="J3" s="814"/>
      <c r="K3" s="814"/>
      <c r="L3" s="814"/>
      <c r="M3" s="814"/>
      <c r="N3" s="814"/>
      <c r="O3" s="814"/>
      <c r="P3" s="814"/>
      <c r="Q3" s="814"/>
      <c r="R3" s="814"/>
      <c r="S3" s="814"/>
      <c r="T3" s="814"/>
      <c r="U3" s="814"/>
      <c r="V3" s="814"/>
      <c r="W3" s="814"/>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815" t="str">
        <f>LEFT('W1'!D10,LEN('W1'!D10)-7)&amp;" (W1,3)"</f>
        <v>Internal flow (W1,3)</v>
      </c>
      <c r="G10" s="816"/>
      <c r="H10" s="83"/>
      <c r="J10" s="83"/>
      <c r="K10" s="83"/>
      <c r="L10" s="83"/>
      <c r="M10" s="83"/>
      <c r="N10" s="83"/>
      <c r="O10" s="83"/>
      <c r="P10" s="83"/>
      <c r="Q10" s="817" t="s">
        <v>75</v>
      </c>
      <c r="R10" s="809" t="s">
        <v>79</v>
      </c>
      <c r="S10" s="810"/>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819" t="str">
        <f>'W1'!D13&amp;" (W1,6)"</f>
        <v>Outflow of surface and groundwaters to neighbouring countries (W1,6)</v>
      </c>
      <c r="J11" s="820"/>
      <c r="K11" s="83"/>
      <c r="L11" s="86"/>
      <c r="M11" s="86"/>
      <c r="N11" s="86"/>
      <c r="O11" s="83"/>
      <c r="P11" s="83"/>
      <c r="Q11" s="818"/>
      <c r="R11" s="811"/>
      <c r="S11" s="812"/>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819" t="str">
        <f>'W1'!D16&amp;" (W1,9)"</f>
        <v>Outflow of surface and groundwaters to the sea (W1,9)</v>
      </c>
      <c r="J13" s="820"/>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821" t="str">
        <f>'W2'!D13</f>
        <v>of which abstracted by:</v>
      </c>
      <c r="E15" s="822"/>
      <c r="F15" s="822"/>
      <c r="G15" s="822"/>
      <c r="H15" s="822"/>
      <c r="I15" s="822"/>
      <c r="J15" s="822"/>
      <c r="K15" s="823"/>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800" t="str">
        <f>LEFT('W2'!D10,LEN('W2'!D10)-7)&amp;" (W2,3)"</f>
        <v>Gross freshwater abstracted (W2,3)</v>
      </c>
      <c r="E19" s="801"/>
      <c r="F19" s="801"/>
      <c r="G19" s="801"/>
      <c r="H19" s="801"/>
      <c r="I19" s="801"/>
      <c r="J19" s="801"/>
      <c r="K19" s="802"/>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800" t="str">
        <f>LEFT('W2'!D12,LEN('W2'!D12)-7)&amp;" (W2,5)"</f>
        <v>Net freshwater abstracted (W2,5)</v>
      </c>
      <c r="K21" s="802"/>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7" t="str">
        <f>LEFT('W2'!D28,LEN('W2'!D28)-17)&amp;" (W2,20)"</f>
        <v>Total freshwater available for use (W2,20)</v>
      </c>
      <c r="P22" s="83"/>
      <c r="Q22" s="807"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24"/>
      <c r="E23" s="824"/>
      <c r="F23" s="83"/>
      <c r="G23" s="800" t="str">
        <f>'W2'!D11&amp;" (W2,4)"</f>
        <v>Water returned without use (W2,4)</v>
      </c>
      <c r="H23" s="802"/>
      <c r="J23" s="800" t="str">
        <f>'W2'!D24&amp;" (W2,16)"</f>
        <v>Desalinated water (W2,16)</v>
      </c>
      <c r="K23" s="802"/>
      <c r="L23" s="83"/>
      <c r="M23" s="38"/>
      <c r="N23" s="83"/>
      <c r="O23" s="808"/>
      <c r="P23" s="83"/>
      <c r="Q23" s="808"/>
      <c r="R23" s="805" t="str">
        <f>'W2'!D31</f>
        <v>of which used by:</v>
      </c>
      <c r="S23" s="806"/>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800" t="str">
        <f>'W2'!D25&amp;" (W2,17)"</f>
        <v>Reused water (W2,17)</v>
      </c>
      <c r="K25" s="802"/>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803"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800" t="str">
        <f>'W2'!D26&amp;" - "&amp;'W2'!D27&amp;" (= W2,18 - W2,19)"</f>
        <v>Imports of water - Exports of water (= W2,18 - W2,19)</v>
      </c>
      <c r="K27" s="802"/>
      <c r="L27" s="83"/>
      <c r="M27" s="83"/>
      <c r="N27" s="83"/>
      <c r="O27" s="38"/>
      <c r="P27" s="804"/>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SheetLayoutView="55" zoomScalePageLayoutView="70" workbookViewId="0" topLeftCell="C1">
      <selection activeCell="D3" sqref="D3"/>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496</v>
      </c>
      <c r="C3" s="185" t="s">
        <v>296</v>
      </c>
      <c r="D3" s="512" t="s">
        <v>414</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B4" s="652"/>
    </row>
    <row r="5" spans="1:86" s="196" customFormat="1" ht="17.25" customHeight="1">
      <c r="A5" s="192"/>
      <c r="B5" s="163">
        <v>1</v>
      </c>
      <c r="C5" s="850" t="s">
        <v>436</v>
      </c>
      <c r="D5" s="850"/>
      <c r="E5" s="851"/>
      <c r="F5" s="851"/>
      <c r="G5" s="851"/>
      <c r="H5" s="852"/>
      <c r="I5" s="852"/>
      <c r="J5" s="852"/>
      <c r="K5" s="852"/>
      <c r="L5" s="852"/>
      <c r="M5" s="852"/>
      <c r="N5" s="852"/>
      <c r="O5" s="852"/>
      <c r="P5" s="852"/>
      <c r="Q5" s="852"/>
      <c r="R5" s="852"/>
      <c r="S5" s="852"/>
      <c r="T5" s="852"/>
      <c r="U5" s="852"/>
      <c r="V5" s="852"/>
      <c r="W5" s="851"/>
      <c r="X5" s="852"/>
      <c r="Y5" s="851"/>
      <c r="Z5" s="852"/>
      <c r="AA5" s="851"/>
      <c r="AB5" s="852"/>
      <c r="AC5" s="851"/>
      <c r="AD5" s="852"/>
      <c r="AE5" s="851"/>
      <c r="AF5" s="852"/>
      <c r="AG5" s="851"/>
      <c r="AH5" s="852"/>
      <c r="AI5" s="852"/>
      <c r="AJ5" s="852"/>
      <c r="AK5" s="851"/>
      <c r="AL5" s="852"/>
      <c r="AM5" s="851"/>
      <c r="AN5" s="852"/>
      <c r="AO5" s="851"/>
      <c r="AP5" s="851"/>
      <c r="AQ5" s="851"/>
      <c r="AR5" s="851"/>
      <c r="AS5" s="851"/>
      <c r="AT5" s="852"/>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49"/>
      <c r="CD5" s="849"/>
      <c r="CE5" s="849"/>
      <c r="CF5" s="849"/>
      <c r="CG5" s="569"/>
      <c r="CH5" s="569"/>
    </row>
    <row r="6" spans="5:86" ht="15.75" customHeight="1">
      <c r="E6" s="198"/>
      <c r="F6" s="199"/>
      <c r="H6" s="588" t="s">
        <v>490</v>
      </c>
      <c r="Z6" s="203"/>
      <c r="AB6" s="836"/>
      <c r="AC6" s="837"/>
      <c r="AD6" s="837"/>
      <c r="AE6" s="837"/>
      <c r="AF6" s="837"/>
      <c r="AG6" s="837"/>
      <c r="AH6" s="837"/>
      <c r="AI6" s="837"/>
      <c r="AJ6" s="837"/>
      <c r="AK6" s="838"/>
      <c r="AL6" s="838"/>
      <c r="AM6" s="838"/>
      <c r="AN6" s="838"/>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c r="I8" s="523"/>
      <c r="J8" s="513"/>
      <c r="K8" s="523"/>
      <c r="L8" s="513"/>
      <c r="M8" s="523"/>
      <c r="N8" s="513"/>
      <c r="O8" s="523"/>
      <c r="P8" s="513"/>
      <c r="Q8" s="523"/>
      <c r="R8" s="513"/>
      <c r="S8" s="523"/>
      <c r="T8" s="513"/>
      <c r="U8" s="523"/>
      <c r="V8" s="513"/>
      <c r="W8" s="523"/>
      <c r="X8" s="513"/>
      <c r="Y8" s="523"/>
      <c r="Z8" s="513"/>
      <c r="AA8" s="523"/>
      <c r="AB8" s="513"/>
      <c r="AC8" s="523"/>
      <c r="AD8" s="513"/>
      <c r="AE8" s="523"/>
      <c r="AF8" s="513"/>
      <c r="AG8" s="523"/>
      <c r="AH8" s="513"/>
      <c r="AI8" s="523"/>
      <c r="AJ8" s="513"/>
      <c r="AK8" s="523"/>
      <c r="AL8" s="513"/>
      <c r="AM8" s="523"/>
      <c r="AN8" s="513"/>
      <c r="AO8" s="523"/>
      <c r="AP8" s="513"/>
      <c r="AQ8" s="523"/>
      <c r="AR8" s="513"/>
      <c r="AS8" s="523"/>
      <c r="AT8" s="513"/>
      <c r="AU8" s="523"/>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N/A</v>
      </c>
      <c r="BH8" s="664" t="str">
        <f>IF(OR(ISBLANK(L8),ISBLANK(J8)),"N/A",IF(ABS((L8-J8)/J8)&gt;1,"&gt; 100%","ok"))</f>
        <v>N/A</v>
      </c>
      <c r="BI8" s="664" t="str">
        <f aca="true" t="shared" si="1" ref="BI8:BI16">IF(OR(ISBLANK(N8),ISBLANK(L8)),"N/A",IF(ABS((N8-L8)/L8)&gt;0.25,"&gt; 25%","ok"))</f>
        <v>N/A</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N/A</v>
      </c>
      <c r="BM8" s="664" t="str">
        <f aca="true" t="shared" si="5" ref="BM8:BM16">IF(OR(ISBLANK(V8),ISBLANK(T8)),"N/A",IF(ABS((V8-T8)/T8)&gt;0.25,"&gt; 25%","ok"))</f>
        <v>N/A</v>
      </c>
      <c r="BN8" s="664" t="str">
        <f aca="true" t="shared" si="6" ref="BN8:BN16">IF(OR(ISBLANK(X8),ISBLANK(V8)),"N/A",IF(ABS((X8-V8)/V8)&gt;0.25,"&gt; 25%","ok"))</f>
        <v>N/A</v>
      </c>
      <c r="BO8" s="664" t="str">
        <f aca="true" t="shared" si="7" ref="BO8:BO16">IF(OR(ISBLANK(Z8),ISBLANK(X8)),"N/A",IF(ABS((Z8-X8)/X8)&gt;0.25,"&gt; 25%","ok"))</f>
        <v>N/A</v>
      </c>
      <c r="BP8" s="664" t="str">
        <f aca="true" t="shared" si="8" ref="BP8:BP16">IF(OR(ISBLANK(AB8),ISBLANK(Z8)),"N/A",IF(ABS((AB8-Z8)/Z8)&gt;0.25,"&gt; 25%","ok"))</f>
        <v>N/A</v>
      </c>
      <c r="BQ8" s="664" t="str">
        <f aca="true" t="shared" si="9" ref="BQ8:BQ16">IF(OR(ISBLANK(AD8),ISBLANK(AB8)),"N/A",IF(ABS((AD8-AB8)/AB8)&gt;0.25,"&gt; 25%","ok"))</f>
        <v>N/A</v>
      </c>
      <c r="BR8" s="664" t="str">
        <f aca="true" t="shared" si="10" ref="BR8:BR16">IF(OR(ISBLANK(AF8),ISBLANK(AD8)),"N/A",IF(ABS((AF8-AD8)/AD8)&gt;0.25,"&gt; 25%","ok"))</f>
        <v>N/A</v>
      </c>
      <c r="BS8" s="664" t="str">
        <f aca="true" t="shared" si="11" ref="BS8:BS16">IF(OR(ISBLANK(AH8),ISBLANK(AF8)),"N/A",IF(ABS((AH8-AF8)/AF8)&gt;0.25,"&gt; 25%","ok"))</f>
        <v>N/A</v>
      </c>
      <c r="BT8" s="664" t="str">
        <f aca="true" t="shared" si="12" ref="BT8:BT16">IF(OR(ISBLANK(AJ8),ISBLANK(AH8)),"N/A",IF(ABS((AJ8-AH8)/AH8)&gt;0.25,"&gt; 25%","ok"))</f>
        <v>N/A</v>
      </c>
      <c r="BU8" s="664" t="str">
        <f aca="true" t="shared" si="13" ref="BU8:BU16">IF(OR(ISBLANK(AL8),ISBLANK(AJ8)),"N/A",IF(ABS((AL8-AJ8)/AJ8)&gt;0.25,"&gt; 25%","ok"))</f>
        <v>N/A</v>
      </c>
      <c r="BV8" s="664" t="str">
        <f aca="true" t="shared" si="14" ref="BV8:BV16">IF(OR(ISBLANK(AN8),ISBLANK(AL8)),"N/A",IF(ABS((AN8-AL8)/AL8)&gt;0.25,"&gt; 25%","ok"))</f>
        <v>N/A</v>
      </c>
      <c r="BW8" s="664" t="str">
        <f aca="true" t="shared" si="15" ref="BW8:BW16">IF(OR(ISBLANK(AP8),ISBLANK(AN8)),"N/A",IF(ABS((AP8-AN8)/AN8)&gt;0.25,"&gt; 25%","ok"))</f>
        <v>N/A</v>
      </c>
      <c r="BX8" s="664" t="str">
        <f aca="true" t="shared" si="16" ref="BX8:BX16">IF(OR(ISBLANK(AR8),ISBLANK(AP8)),"N/A",IF(ABS((AR8-AP8)/AP8)&gt;0.25,"&gt; 25%","ok"))</f>
        <v>N/A</v>
      </c>
      <c r="BY8" s="664" t="str">
        <f>IF(OR(ISBLANK(AT8),ISBLANK(AR8)),"N/A",IF(ABS((AT8-AR8)/AR8)&gt;0.25,"&gt; 25%","ok"))</f>
        <v>N/A</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44" t="s">
        <v>258</v>
      </c>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c r="AX20" s="844"/>
      <c r="AY20" s="844"/>
      <c r="AZ20" s="844"/>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44" t="s">
        <v>241</v>
      </c>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44"/>
      <c r="AT21" s="844"/>
      <c r="AU21" s="844"/>
      <c r="AV21" s="844"/>
      <c r="AW21" s="844"/>
      <c r="AX21" s="844"/>
      <c r="AY21" s="844"/>
      <c r="AZ21" s="844"/>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40" t="s">
        <v>143</v>
      </c>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40"/>
      <c r="AV22" s="840"/>
      <c r="AW22" s="840"/>
      <c r="AX22" s="840"/>
      <c r="AY22" s="840"/>
      <c r="AZ22" s="840"/>
      <c r="BB22" s="680">
        <v>10</v>
      </c>
      <c r="BC22" s="681" t="s">
        <v>37</v>
      </c>
      <c r="BD22" s="665" t="s">
        <v>298</v>
      </c>
      <c r="BE22" s="665">
        <f>(F8-F9)</f>
        <v>0</v>
      </c>
      <c r="BF22" s="665">
        <f>(H8-H9)</f>
        <v>0</v>
      </c>
      <c r="BG22" s="665">
        <f>(J8-J9)</f>
        <v>0</v>
      </c>
      <c r="BH22" s="665">
        <f>(L8-L9)</f>
        <v>0</v>
      </c>
      <c r="BI22" s="665">
        <f>(N8-N9)</f>
        <v>0</v>
      </c>
      <c r="BJ22" s="665">
        <f>(P8-P9)</f>
        <v>0</v>
      </c>
      <c r="BK22" s="665">
        <f>(R8-R9)</f>
        <v>0</v>
      </c>
      <c r="BL22" s="665">
        <f>(T8-T9)</f>
        <v>0</v>
      </c>
      <c r="BM22" s="665">
        <f>(V8-V9)</f>
        <v>0</v>
      </c>
      <c r="BN22" s="665">
        <f>(X8-X9)</f>
        <v>0</v>
      </c>
      <c r="BO22" s="665">
        <f>(Z8-Z9)</f>
        <v>0</v>
      </c>
      <c r="BP22" s="665">
        <f>(AB8-AB9)</f>
        <v>0</v>
      </c>
      <c r="BQ22" s="665">
        <f>(AD8-AD9)</f>
        <v>0</v>
      </c>
      <c r="BR22" s="665">
        <f>(AF8-AF9)</f>
        <v>0</v>
      </c>
      <c r="BS22" s="665">
        <f>(AH8-AH9)</f>
        <v>0</v>
      </c>
      <c r="BT22" s="665">
        <f>(AJ8-AJ9)</f>
        <v>0</v>
      </c>
      <c r="BU22" s="665">
        <f>(AL8-AL9)</f>
        <v>0</v>
      </c>
      <c r="BV22" s="665">
        <f>(AN8-AN9)</f>
        <v>0</v>
      </c>
      <c r="BW22" s="665">
        <f>(AP8-AP9)</f>
        <v>0</v>
      </c>
      <c r="BX22" s="665">
        <f>(AR8-AR9)</f>
        <v>0</v>
      </c>
      <c r="BY22" s="665">
        <f>(AT8-AT9)</f>
        <v>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44" t="s">
        <v>110</v>
      </c>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844"/>
      <c r="AR23" s="844"/>
      <c r="AS23" s="844"/>
      <c r="AT23" s="844"/>
      <c r="AU23" s="844"/>
      <c r="AV23" s="844"/>
      <c r="AW23" s="844"/>
      <c r="AX23" s="844"/>
      <c r="AY23" s="844"/>
      <c r="AZ23" s="844"/>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859"/>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25" t="str">
        <f>D8&amp;" (W1, 1)"</f>
        <v>Precipitation                               (W1, 1)</v>
      </c>
      <c r="G26" s="826"/>
      <c r="H26" s="826"/>
      <c r="I26" s="827"/>
      <c r="J26" s="255"/>
      <c r="K26" s="255"/>
      <c r="L26" s="255"/>
      <c r="M26" s="825" t="str">
        <f>D9&amp;"(W1, 2)"</f>
        <v>Actual evapotranspiration(W1, 2)</v>
      </c>
      <c r="N26" s="828"/>
      <c r="O26" s="828"/>
      <c r="P26" s="828"/>
      <c r="Q26" s="829"/>
      <c r="R26" s="253"/>
      <c r="S26" s="255"/>
      <c r="T26" s="255"/>
      <c r="U26" s="255"/>
      <c r="V26" s="255"/>
      <c r="W26" s="255"/>
      <c r="X26" s="255"/>
      <c r="Y26" s="255"/>
      <c r="Z26" s="255"/>
      <c r="AA26" s="254"/>
      <c r="AB26" s="845"/>
      <c r="AC26" s="845"/>
      <c r="AD26" s="845"/>
      <c r="AE26" s="845"/>
      <c r="AF26" s="256"/>
      <c r="AG26" s="256"/>
      <c r="AH26" s="256"/>
      <c r="AI26" s="256"/>
      <c r="AJ26" s="845"/>
      <c r="AK26" s="846"/>
      <c r="AL26" s="846"/>
      <c r="AM26" s="846"/>
      <c r="AN26" s="846"/>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25" t="str">
        <f>LEFT(D10,LEN(D10)-7)&amp;" (W1, 3)"</f>
        <v>Internal flow (W1, 3)</v>
      </c>
      <c r="I28" s="830"/>
      <c r="J28" s="830"/>
      <c r="K28" s="830"/>
      <c r="L28" s="830"/>
      <c r="M28" s="830"/>
      <c r="N28" s="830"/>
      <c r="O28" s="831"/>
      <c r="P28" s="254"/>
      <c r="Q28" s="254"/>
      <c r="R28" s="254"/>
      <c r="S28" s="254"/>
      <c r="T28" s="254"/>
      <c r="U28" s="254"/>
      <c r="V28" s="254"/>
      <c r="W28" s="254"/>
      <c r="X28" s="254"/>
      <c r="Y28" s="254"/>
      <c r="Z28" s="254"/>
      <c r="AA28" s="254"/>
      <c r="AB28" s="253"/>
      <c r="AC28" s="256"/>
      <c r="AD28" s="845"/>
      <c r="AE28" s="847"/>
      <c r="AF28" s="847"/>
      <c r="AG28" s="847"/>
      <c r="AH28" s="847"/>
      <c r="AI28" s="847"/>
      <c r="AJ28" s="847"/>
      <c r="AK28" s="847"/>
      <c r="AL28" s="847"/>
      <c r="AM28" s="256"/>
      <c r="AN28" s="256"/>
      <c r="AO28" s="256"/>
      <c r="AP28" s="256"/>
      <c r="AQ28" s="256"/>
      <c r="AR28" s="256"/>
      <c r="AS28" s="256"/>
      <c r="AT28" s="189"/>
      <c r="AU28" s="191"/>
      <c r="AV28" s="191"/>
      <c r="AW28" s="191"/>
      <c r="AX28" s="189"/>
      <c r="AY28" s="191"/>
      <c r="AZ28" s="252"/>
      <c r="BB28" s="680">
        <v>12</v>
      </c>
      <c r="BC28" s="681" t="s">
        <v>51</v>
      </c>
      <c r="BD28" s="665" t="s">
        <v>298</v>
      </c>
      <c r="BE28" s="665">
        <f>VLOOKUP(B3,CC7:CH183,3,FALSE)</f>
        <v>376951.956</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25" t="str">
        <f>D13&amp;" (W1, 6)"</f>
        <v>Outflow of surface and groundwaters to neighbouring countries (W1, 6)</v>
      </c>
      <c r="W29" s="826"/>
      <c r="X29" s="826"/>
      <c r="Y29" s="826"/>
      <c r="Z29" s="826"/>
      <c r="AA29" s="827"/>
      <c r="AB29" s="256"/>
      <c r="AC29" s="256"/>
      <c r="AD29" s="256"/>
      <c r="AE29" s="256"/>
      <c r="AF29" s="256"/>
      <c r="AG29" s="256"/>
      <c r="AH29" s="256"/>
      <c r="AI29" s="256"/>
      <c r="AJ29" s="256"/>
      <c r="AK29" s="256"/>
      <c r="AL29" s="256"/>
      <c r="AM29" s="256"/>
      <c r="AN29" s="256"/>
      <c r="AO29" s="256"/>
      <c r="AP29" s="256"/>
      <c r="AQ29" s="256"/>
      <c r="AR29" s="256"/>
      <c r="AS29" s="256"/>
      <c r="AT29" s="845"/>
      <c r="AU29" s="845"/>
      <c r="AV29" s="845"/>
      <c r="AW29" s="845"/>
      <c r="AX29" s="845"/>
      <c r="AY29" s="845"/>
      <c r="AZ29" s="252"/>
      <c r="BB29" s="683" t="s">
        <v>176</v>
      </c>
      <c r="BC29" s="685" t="s">
        <v>219</v>
      </c>
      <c r="BD29" s="665" t="s">
        <v>298</v>
      </c>
      <c r="BE29" s="665">
        <f>ABS(BE27-BE28)</f>
        <v>376951.956</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25" t="str">
        <f>D11&amp;" (W1, 4)"</f>
        <v>Inflow of surface and groundwaters from neighbouring countries (W1, 4)</v>
      </c>
      <c r="G30" s="832"/>
      <c r="H30" s="832"/>
      <c r="I30" s="833"/>
      <c r="J30" s="255"/>
      <c r="K30" s="255"/>
      <c r="L30" s="255"/>
      <c r="M30" s="825" t="str">
        <f>LEFT(D12,LEN(D12)-7)&amp;" (W1, 5)"</f>
        <v>Renewable freshwater resources (W1, 5)</v>
      </c>
      <c r="N30" s="834"/>
      <c r="O30" s="834"/>
      <c r="P30" s="835"/>
      <c r="Q30" s="255"/>
      <c r="R30" s="255"/>
      <c r="S30" s="255"/>
      <c r="T30" s="255"/>
      <c r="U30" s="255"/>
      <c r="V30" s="255"/>
      <c r="W30" s="255"/>
      <c r="X30" s="255"/>
      <c r="Y30" s="255"/>
      <c r="Z30" s="255"/>
      <c r="AA30" s="255"/>
      <c r="AB30" s="845"/>
      <c r="AC30" s="848"/>
      <c r="AD30" s="848"/>
      <c r="AE30" s="848"/>
      <c r="AF30" s="256"/>
      <c r="AG30" s="256"/>
      <c r="AH30" s="256"/>
      <c r="AI30" s="256"/>
      <c r="AJ30" s="256"/>
      <c r="AK30" s="845"/>
      <c r="AL30" s="860"/>
      <c r="AM30" s="860"/>
      <c r="AN30" s="860"/>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25" t="str">
        <f>D16&amp;" (W1, 9)"</f>
        <v>Outflow of surface and groundwaters to the sea (W1, 9)</v>
      </c>
      <c r="W31" s="826"/>
      <c r="X31" s="826"/>
      <c r="Y31" s="826"/>
      <c r="Z31" s="826"/>
      <c r="AA31" s="827"/>
      <c r="AB31" s="845"/>
      <c r="AC31" s="848"/>
      <c r="AD31" s="848"/>
      <c r="AE31" s="848"/>
      <c r="AF31" s="553"/>
      <c r="AG31" s="257"/>
      <c r="AH31" s="253"/>
      <c r="AI31" s="253"/>
      <c r="AJ31" s="253"/>
      <c r="AK31" s="845"/>
      <c r="AL31" s="860"/>
      <c r="AM31" s="860"/>
      <c r="AN31" s="860"/>
      <c r="AO31" s="555"/>
      <c r="AP31" s="555"/>
      <c r="AQ31" s="190"/>
      <c r="AR31" s="190"/>
      <c r="AS31" s="190"/>
      <c r="AT31" s="845"/>
      <c r="AU31" s="845"/>
      <c r="AV31" s="845"/>
      <c r="AW31" s="845"/>
      <c r="AX31" s="845"/>
      <c r="AY31" s="845"/>
      <c r="AZ31" s="260"/>
      <c r="BA31" s="649"/>
      <c r="BB31" s="686">
        <v>13</v>
      </c>
      <c r="BC31" s="681" t="s">
        <v>52</v>
      </c>
      <c r="BD31" s="665" t="s">
        <v>298</v>
      </c>
      <c r="BE31" s="665">
        <f>VLOOKUP(B3,CC7:CH183,4,FALSE)</f>
        <v>34800</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f>ABS(BE30-BE31)</f>
        <v>34800</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22.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f>VLOOKUP(B3,CC7:CH183,5,FALSE)</f>
        <v>0</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56" t="s">
        <v>295</v>
      </c>
      <c r="E35" s="857"/>
      <c r="F35" s="857"/>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8"/>
      <c r="BB35" s="683" t="s">
        <v>176</v>
      </c>
      <c r="BC35" s="681" t="s">
        <v>221</v>
      </c>
      <c r="BD35" s="665" t="s">
        <v>298</v>
      </c>
      <c r="BE35" s="665">
        <f>ABS(BE33-BE34)</f>
        <v>0</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3:86" ht="18" customHeight="1">
      <c r="C36" s="484"/>
      <c r="D36" s="841"/>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42"/>
      <c r="AY36" s="842"/>
      <c r="AZ36" s="843"/>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53"/>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54"/>
      <c r="AS37" s="854"/>
      <c r="AT37" s="854"/>
      <c r="AU37" s="854"/>
      <c r="AV37" s="854"/>
      <c r="AW37" s="854"/>
      <c r="AX37" s="854"/>
      <c r="AY37" s="854"/>
      <c r="AZ37" s="855"/>
      <c r="BB37" s="680">
        <v>15</v>
      </c>
      <c r="BC37" s="681" t="s">
        <v>53</v>
      </c>
      <c r="BD37" s="665" t="s">
        <v>298</v>
      </c>
      <c r="BE37" s="665">
        <f>VLOOKUP(B3,CC7:CH183,6,FALSE)</f>
        <v>34800</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53"/>
      <c r="E38" s="854"/>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4"/>
      <c r="AY38" s="854"/>
      <c r="AZ38" s="855"/>
      <c r="BB38" s="687" t="s">
        <v>176</v>
      </c>
      <c r="BC38" s="688" t="s">
        <v>222</v>
      </c>
      <c r="BD38" s="676" t="s">
        <v>298</v>
      </c>
      <c r="BE38" s="676">
        <f>ABS(BE36-BE37)</f>
        <v>34800</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53"/>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4"/>
      <c r="AY39" s="854"/>
      <c r="AZ39" s="855"/>
      <c r="BB39" s="689" t="s">
        <v>55</v>
      </c>
      <c r="BC39" s="690" t="s">
        <v>56</v>
      </c>
      <c r="CB39" s="489"/>
      <c r="CC39" s="644">
        <v>344</v>
      </c>
      <c r="CD39" s="644" t="s">
        <v>352</v>
      </c>
      <c r="CE39" s="645">
        <v>0</v>
      </c>
      <c r="CF39" s="646">
        <v>0</v>
      </c>
      <c r="CG39" s="646">
        <v>0</v>
      </c>
      <c r="CH39" s="646">
        <v>0</v>
      </c>
    </row>
    <row r="40" spans="3:86" ht="18" customHeight="1">
      <c r="C40" s="484"/>
      <c r="D40" s="853"/>
      <c r="E40" s="854"/>
      <c r="F40" s="854"/>
      <c r="G40" s="854"/>
      <c r="H40" s="854"/>
      <c r="I40" s="854"/>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c r="AV40" s="854"/>
      <c r="AW40" s="854"/>
      <c r="AX40" s="854"/>
      <c r="AY40" s="854"/>
      <c r="AZ40" s="855"/>
      <c r="BB40" s="689" t="s">
        <v>57</v>
      </c>
      <c r="BC40" s="690" t="s">
        <v>58</v>
      </c>
      <c r="CC40" s="644">
        <v>446</v>
      </c>
      <c r="CD40" s="644" t="s">
        <v>353</v>
      </c>
      <c r="CE40" s="645">
        <v>0</v>
      </c>
      <c r="CF40" s="646">
        <v>0</v>
      </c>
      <c r="CG40" s="646">
        <v>0</v>
      </c>
      <c r="CH40" s="646">
        <v>0</v>
      </c>
    </row>
    <row r="41" spans="3:86" ht="18" customHeight="1">
      <c r="C41" s="484"/>
      <c r="D41" s="853"/>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c r="AT41" s="854"/>
      <c r="AU41" s="854"/>
      <c r="AV41" s="854"/>
      <c r="AW41" s="854"/>
      <c r="AX41" s="854"/>
      <c r="AY41" s="854"/>
      <c r="AZ41" s="855"/>
      <c r="BB41" s="691" t="s">
        <v>60</v>
      </c>
      <c r="BC41" s="690" t="s">
        <v>62</v>
      </c>
      <c r="BD41" s="692"/>
      <c r="CC41" s="644">
        <v>170</v>
      </c>
      <c r="CD41" s="644" t="s">
        <v>354</v>
      </c>
      <c r="CE41" s="645">
        <v>3699270</v>
      </c>
      <c r="CF41" s="646">
        <v>2145000</v>
      </c>
      <c r="CG41" s="646">
        <v>215000</v>
      </c>
      <c r="CH41" s="646">
        <v>2360000</v>
      </c>
    </row>
    <row r="42" spans="3:86" ht="18" customHeight="1">
      <c r="C42" s="484"/>
      <c r="D42" s="853"/>
      <c r="E42" s="854"/>
      <c r="F42" s="854"/>
      <c r="G42" s="854"/>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4"/>
      <c r="AY42" s="854"/>
      <c r="AZ42" s="855"/>
      <c r="BB42" s="691" t="s">
        <v>59</v>
      </c>
      <c r="BC42" s="690" t="s">
        <v>12</v>
      </c>
      <c r="BD42" s="692"/>
      <c r="CC42" s="644">
        <v>174</v>
      </c>
      <c r="CD42" s="644" t="s">
        <v>355</v>
      </c>
      <c r="CE42" s="645">
        <v>1674.9</v>
      </c>
      <c r="CF42" s="646">
        <v>1200</v>
      </c>
      <c r="CG42" s="646">
        <v>0</v>
      </c>
      <c r="CH42" s="646">
        <v>1200</v>
      </c>
    </row>
    <row r="43" spans="3:86" ht="18" customHeight="1">
      <c r="C43" s="484"/>
      <c r="D43" s="853"/>
      <c r="E43" s="854"/>
      <c r="F43" s="854"/>
      <c r="G43" s="854"/>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4"/>
      <c r="AJ43" s="854"/>
      <c r="AK43" s="854"/>
      <c r="AL43" s="854"/>
      <c r="AM43" s="854"/>
      <c r="AN43" s="854"/>
      <c r="AO43" s="854"/>
      <c r="AP43" s="854"/>
      <c r="AQ43" s="854"/>
      <c r="AR43" s="854"/>
      <c r="AS43" s="854"/>
      <c r="AT43" s="854"/>
      <c r="AU43" s="854"/>
      <c r="AV43" s="854"/>
      <c r="AW43" s="854"/>
      <c r="AX43" s="854"/>
      <c r="AY43" s="854"/>
      <c r="AZ43" s="855"/>
      <c r="BB43" s="689" t="s">
        <v>61</v>
      </c>
      <c r="BC43" s="690" t="s">
        <v>63</v>
      </c>
      <c r="BD43" s="692"/>
      <c r="CC43" s="644">
        <v>178</v>
      </c>
      <c r="CD43" s="644" t="s">
        <v>356</v>
      </c>
      <c r="CE43" s="645">
        <v>562932</v>
      </c>
      <c r="CF43" s="646">
        <v>222000</v>
      </c>
      <c r="CG43" s="646">
        <v>52000</v>
      </c>
      <c r="CH43" s="646">
        <v>832000</v>
      </c>
    </row>
    <row r="44" spans="3:86" ht="18" customHeight="1">
      <c r="C44" s="484"/>
      <c r="D44" s="853"/>
      <c r="E44" s="854"/>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4"/>
      <c r="AR44" s="854"/>
      <c r="AS44" s="854"/>
      <c r="AT44" s="854"/>
      <c r="AU44" s="854"/>
      <c r="AV44" s="854"/>
      <c r="AW44" s="854"/>
      <c r="AX44" s="854"/>
      <c r="AY44" s="854"/>
      <c r="AZ44" s="855"/>
      <c r="BD44" s="692"/>
      <c r="CC44" s="644">
        <v>188</v>
      </c>
      <c r="CD44" s="644" t="s">
        <v>357</v>
      </c>
      <c r="CE44" s="645">
        <v>149518.6</v>
      </c>
      <c r="CF44" s="646">
        <v>76840</v>
      </c>
      <c r="CG44" s="646">
        <v>0</v>
      </c>
      <c r="CH44" s="646">
        <v>113000</v>
      </c>
    </row>
    <row r="45" spans="3:86" ht="18" customHeight="1">
      <c r="C45" s="484"/>
      <c r="D45" s="853"/>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854"/>
      <c r="AO45" s="854"/>
      <c r="AP45" s="854"/>
      <c r="AQ45" s="854"/>
      <c r="AR45" s="854"/>
      <c r="AS45" s="854"/>
      <c r="AT45" s="854"/>
      <c r="AU45" s="854"/>
      <c r="AV45" s="854"/>
      <c r="AW45" s="854"/>
      <c r="AX45" s="854"/>
      <c r="AY45" s="854"/>
      <c r="AZ45" s="855"/>
      <c r="CC45" s="644">
        <v>384</v>
      </c>
      <c r="CD45" s="644" t="s">
        <v>148</v>
      </c>
      <c r="CE45" s="645">
        <v>434676.08</v>
      </c>
      <c r="CF45" s="646">
        <v>37700</v>
      </c>
      <c r="CG45" s="646">
        <v>4300</v>
      </c>
      <c r="CH45" s="646">
        <v>84140</v>
      </c>
    </row>
    <row r="46" spans="3:86" ht="18" customHeight="1">
      <c r="C46" s="484"/>
      <c r="D46" s="853"/>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4"/>
      <c r="AN46" s="854"/>
      <c r="AO46" s="854"/>
      <c r="AP46" s="854"/>
      <c r="AQ46" s="854"/>
      <c r="AR46" s="854"/>
      <c r="AS46" s="854"/>
      <c r="AT46" s="854"/>
      <c r="AU46" s="854"/>
      <c r="AV46" s="854"/>
      <c r="AW46" s="854"/>
      <c r="AX46" s="854"/>
      <c r="AY46" s="854"/>
      <c r="AZ46" s="855"/>
      <c r="BD46" s="692"/>
      <c r="CC46" s="644">
        <v>191</v>
      </c>
      <c r="CD46" s="644" t="s">
        <v>358</v>
      </c>
      <c r="CE46" s="645">
        <v>62989.122</v>
      </c>
      <c r="CF46" s="646">
        <v>0</v>
      </c>
      <c r="CG46" s="646">
        <v>33470</v>
      </c>
      <c r="CH46" s="646">
        <v>105500</v>
      </c>
    </row>
    <row r="47" spans="3:86" ht="18" customHeight="1">
      <c r="C47" s="484"/>
      <c r="D47" s="853"/>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4"/>
      <c r="AR47" s="854"/>
      <c r="AS47" s="854"/>
      <c r="AT47" s="854"/>
      <c r="AU47" s="854"/>
      <c r="AV47" s="854"/>
      <c r="AW47" s="854"/>
      <c r="AX47" s="854"/>
      <c r="AY47" s="854"/>
      <c r="AZ47" s="855"/>
      <c r="BB47" s="692"/>
      <c r="BC47" s="692"/>
      <c r="BD47" s="692"/>
      <c r="CC47" s="644">
        <v>192</v>
      </c>
      <c r="CD47" s="644" t="s">
        <v>359</v>
      </c>
      <c r="CE47" s="645">
        <v>146689.8</v>
      </c>
      <c r="CF47" s="646">
        <v>38120</v>
      </c>
      <c r="CG47" s="646">
        <v>0</v>
      </c>
      <c r="CH47" s="646">
        <v>38120</v>
      </c>
    </row>
    <row r="48" spans="3:86" ht="18" customHeight="1">
      <c r="C48" s="484"/>
      <c r="D48" s="853"/>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c r="AW48" s="854"/>
      <c r="AX48" s="854"/>
      <c r="AY48" s="854"/>
      <c r="AZ48" s="855"/>
      <c r="CC48" s="644">
        <v>196</v>
      </c>
      <c r="CD48" s="644" t="s">
        <v>360</v>
      </c>
      <c r="CE48" s="645">
        <v>4606.5</v>
      </c>
      <c r="CF48" s="646">
        <v>780</v>
      </c>
      <c r="CG48" s="646">
        <v>0</v>
      </c>
      <c r="CH48" s="646">
        <v>780</v>
      </c>
    </row>
    <row r="49" spans="3:86" ht="18" customHeight="1">
      <c r="C49" s="484"/>
      <c r="D49" s="853"/>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854"/>
      <c r="AX49" s="854"/>
      <c r="AY49" s="854"/>
      <c r="AZ49" s="855"/>
      <c r="CC49" s="644">
        <v>408</v>
      </c>
      <c r="CD49" s="644" t="s">
        <v>149</v>
      </c>
      <c r="CE49" s="645">
        <v>127049.16</v>
      </c>
      <c r="CF49" s="646">
        <v>67000</v>
      </c>
      <c r="CG49" s="646">
        <v>0</v>
      </c>
      <c r="CH49" s="646">
        <v>77150</v>
      </c>
    </row>
    <row r="50" spans="3:86" ht="18" customHeight="1">
      <c r="C50" s="484"/>
      <c r="D50" s="853"/>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c r="AN50" s="854"/>
      <c r="AO50" s="854"/>
      <c r="AP50" s="854"/>
      <c r="AQ50" s="854"/>
      <c r="AR50" s="854"/>
      <c r="AS50" s="854"/>
      <c r="AT50" s="854"/>
      <c r="AU50" s="854"/>
      <c r="AV50" s="854"/>
      <c r="AW50" s="854"/>
      <c r="AX50" s="854"/>
      <c r="AY50" s="854"/>
      <c r="AZ50" s="855"/>
      <c r="CC50" s="644">
        <v>180</v>
      </c>
      <c r="CD50" s="644" t="s">
        <v>150</v>
      </c>
      <c r="CE50" s="645">
        <v>3618118.98</v>
      </c>
      <c r="CF50" s="646">
        <v>900000</v>
      </c>
      <c r="CG50" s="646">
        <v>383000</v>
      </c>
      <c r="CH50" s="646">
        <v>1283000</v>
      </c>
    </row>
    <row r="51" spans="3:86" ht="18" customHeight="1">
      <c r="C51" s="484"/>
      <c r="D51" s="853"/>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c r="AW51" s="854"/>
      <c r="AX51" s="854"/>
      <c r="AY51" s="854"/>
      <c r="AZ51" s="855"/>
      <c r="CC51" s="644">
        <v>262</v>
      </c>
      <c r="CD51" s="644" t="s">
        <v>361</v>
      </c>
      <c r="CE51" s="645">
        <v>5104</v>
      </c>
      <c r="CF51" s="646">
        <v>300</v>
      </c>
      <c r="CG51" s="646">
        <v>0</v>
      </c>
      <c r="CH51" s="646">
        <v>300</v>
      </c>
    </row>
    <row r="52" spans="3:86" ht="18" customHeight="1">
      <c r="C52" s="484"/>
      <c r="D52" s="853"/>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4"/>
      <c r="AY52" s="854"/>
      <c r="AZ52" s="855"/>
      <c r="CC52" s="644">
        <v>212</v>
      </c>
      <c r="CD52" s="644" t="s">
        <v>362</v>
      </c>
      <c r="CE52" s="645">
        <v>1562.25</v>
      </c>
      <c r="CF52" s="646">
        <v>200</v>
      </c>
      <c r="CG52" s="646">
        <v>0</v>
      </c>
      <c r="CH52" s="646">
        <v>200</v>
      </c>
    </row>
    <row r="53" spans="3:86" ht="18" customHeight="1">
      <c r="C53" s="484"/>
      <c r="D53" s="853"/>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4"/>
      <c r="AY53" s="854"/>
      <c r="AZ53" s="855"/>
      <c r="CC53" s="644">
        <v>214</v>
      </c>
      <c r="CD53" s="644" t="s">
        <v>363</v>
      </c>
      <c r="CE53" s="645">
        <v>68624.7</v>
      </c>
      <c r="CF53" s="646">
        <v>23500</v>
      </c>
      <c r="CG53" s="646">
        <v>0</v>
      </c>
      <c r="CH53" s="646">
        <v>23500</v>
      </c>
    </row>
    <row r="54" spans="3:86" ht="18" customHeight="1">
      <c r="C54" s="484"/>
      <c r="D54" s="853"/>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4"/>
      <c r="AY54" s="854"/>
      <c r="AZ54" s="855"/>
      <c r="CC54" s="644">
        <v>218</v>
      </c>
      <c r="CD54" s="644" t="s">
        <v>364</v>
      </c>
      <c r="CE54" s="645">
        <v>582985.38</v>
      </c>
      <c r="CF54" s="646">
        <v>442400</v>
      </c>
      <c r="CG54" s="646">
        <v>0</v>
      </c>
      <c r="CH54" s="646">
        <v>442400</v>
      </c>
    </row>
    <row r="55" spans="3:86" ht="18" customHeight="1">
      <c r="C55" s="484"/>
      <c r="D55" s="853"/>
      <c r="E55" s="854"/>
      <c r="F55" s="854"/>
      <c r="G55" s="854"/>
      <c r="H55" s="854"/>
      <c r="I55" s="854"/>
      <c r="J55" s="854"/>
      <c r="K55" s="854"/>
      <c r="L55" s="854"/>
      <c r="M55" s="854"/>
      <c r="N55" s="854"/>
      <c r="O55" s="854"/>
      <c r="P55" s="854"/>
      <c r="Q55" s="854"/>
      <c r="R55" s="854"/>
      <c r="S55" s="854"/>
      <c r="T55" s="854"/>
      <c r="U55" s="854"/>
      <c r="V55" s="854"/>
      <c r="W55" s="854"/>
      <c r="X55" s="854"/>
      <c r="Y55" s="854"/>
      <c r="Z55" s="854"/>
      <c r="AA55" s="854"/>
      <c r="AB55" s="854"/>
      <c r="AC55" s="854"/>
      <c r="AD55" s="854"/>
      <c r="AE55" s="854"/>
      <c r="AF55" s="854"/>
      <c r="AG55" s="854"/>
      <c r="AH55" s="854"/>
      <c r="AI55" s="854"/>
      <c r="AJ55" s="854"/>
      <c r="AK55" s="854"/>
      <c r="AL55" s="854"/>
      <c r="AM55" s="854"/>
      <c r="AN55" s="854"/>
      <c r="AO55" s="854"/>
      <c r="AP55" s="854"/>
      <c r="AQ55" s="854"/>
      <c r="AR55" s="854"/>
      <c r="AS55" s="854"/>
      <c r="AT55" s="854"/>
      <c r="AU55" s="854"/>
      <c r="AV55" s="854"/>
      <c r="AW55" s="854"/>
      <c r="AX55" s="854"/>
      <c r="AY55" s="854"/>
      <c r="AZ55" s="855"/>
      <c r="CC55" s="644">
        <v>818</v>
      </c>
      <c r="CD55" s="644" t="s">
        <v>365</v>
      </c>
      <c r="CE55" s="645">
        <v>18126.245000000003</v>
      </c>
      <c r="CF55" s="646">
        <v>1000</v>
      </c>
      <c r="CG55" s="646">
        <v>84000</v>
      </c>
      <c r="CH55" s="646">
        <v>57500</v>
      </c>
    </row>
    <row r="56" spans="3:86" ht="18" customHeight="1">
      <c r="C56" s="484"/>
      <c r="D56" s="853"/>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4"/>
      <c r="AY56" s="854"/>
      <c r="AZ56" s="855"/>
      <c r="CC56" s="644">
        <v>222</v>
      </c>
      <c r="CD56" s="644" t="s">
        <v>366</v>
      </c>
      <c r="CE56" s="645">
        <v>37535.36</v>
      </c>
      <c r="CF56" s="646">
        <v>15630</v>
      </c>
      <c r="CG56" s="646">
        <v>10640</v>
      </c>
      <c r="CH56" s="646">
        <v>26270</v>
      </c>
    </row>
    <row r="57" spans="3:86" ht="20.25" customHeight="1">
      <c r="C57" s="485"/>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5"/>
      <c r="CC57" s="644">
        <v>226</v>
      </c>
      <c r="CD57" s="644" t="s">
        <v>367</v>
      </c>
      <c r="CE57" s="645">
        <v>60475.8</v>
      </c>
      <c r="CF57" s="646">
        <v>26000</v>
      </c>
      <c r="CG57" s="646">
        <v>0</v>
      </c>
      <c r="CH57" s="646">
        <v>26000</v>
      </c>
    </row>
    <row r="58" spans="3:86" ht="16.5" customHeight="1">
      <c r="C58" s="861"/>
      <c r="D58" s="862"/>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281"/>
      <c r="AQ58" s="281"/>
      <c r="AR58" s="281"/>
      <c r="AS58" s="281"/>
      <c r="CC58" s="644">
        <v>232</v>
      </c>
      <c r="CD58" s="644" t="s">
        <v>368</v>
      </c>
      <c r="CE58" s="645">
        <v>46758.073728</v>
      </c>
      <c r="CF58" s="646">
        <v>2800</v>
      </c>
      <c r="CG58" s="646">
        <v>700</v>
      </c>
      <c r="CH58" s="646">
        <v>7315</v>
      </c>
    </row>
    <row r="59" spans="3:86" ht="12.75">
      <c r="C59" s="862"/>
      <c r="D59" s="862"/>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s="862"/>
      <c r="AG59" s="862"/>
      <c r="AH59" s="862"/>
      <c r="AI59" s="862"/>
      <c r="AJ59" s="862"/>
      <c r="AK59" s="862"/>
      <c r="AL59" s="862"/>
      <c r="AM59" s="862"/>
      <c r="AN59" s="862"/>
      <c r="AO59" s="862"/>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738">
        <v>376951.956</v>
      </c>
      <c r="CF109" s="738">
        <v>34800</v>
      </c>
      <c r="CG109" s="738">
        <v>0</v>
      </c>
      <c r="CH109" s="738">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D3" sqref="D3"/>
    </sheetView>
  </sheetViews>
  <sheetFormatPr defaultColWidth="12" defaultRowHeight="12.75"/>
  <cols>
    <col min="1" max="1" width="4.33203125" style="192" hidden="1" customWidth="1"/>
    <col min="2" max="2" width="6.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496</v>
      </c>
      <c r="C3" s="299" t="s">
        <v>296</v>
      </c>
      <c r="D3" s="522" t="s">
        <v>414</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70" t="s">
        <v>86</v>
      </c>
      <c r="D5" s="870"/>
      <c r="E5" s="871"/>
      <c r="F5" s="871"/>
      <c r="G5" s="871"/>
      <c r="H5" s="872"/>
      <c r="I5" s="872"/>
      <c r="J5" s="872"/>
      <c r="K5" s="872"/>
      <c r="L5" s="872"/>
      <c r="M5" s="872"/>
      <c r="N5" s="872"/>
      <c r="O5" s="872"/>
      <c r="P5" s="872"/>
      <c r="Q5" s="872"/>
      <c r="R5" s="872"/>
      <c r="S5" s="872"/>
      <c r="T5" s="872"/>
      <c r="U5" s="872"/>
      <c r="V5" s="872"/>
      <c r="W5" s="871"/>
      <c r="X5" s="872"/>
      <c r="Y5" s="871"/>
      <c r="Z5" s="872"/>
      <c r="AA5" s="871"/>
      <c r="AB5" s="872"/>
      <c r="AC5" s="871"/>
      <c r="AD5" s="872"/>
      <c r="AE5" s="871"/>
      <c r="AF5" s="872"/>
      <c r="AG5" s="871"/>
      <c r="AH5" s="872"/>
      <c r="AI5" s="872"/>
      <c r="AJ5" s="872"/>
      <c r="AK5" s="871"/>
      <c r="AL5" s="872"/>
      <c r="AM5" s="871"/>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c r="K8" s="528"/>
      <c r="L8" s="515"/>
      <c r="M8" s="528"/>
      <c r="N8" s="515"/>
      <c r="O8" s="515"/>
      <c r="P8" s="515"/>
      <c r="Q8" s="523"/>
      <c r="R8" s="515"/>
      <c r="S8" s="523"/>
      <c r="T8" s="515"/>
      <c r="U8" s="523"/>
      <c r="V8" s="515"/>
      <c r="W8" s="523"/>
      <c r="X8" s="515"/>
      <c r="Y8" s="523"/>
      <c r="Z8" s="515"/>
      <c r="AA8" s="523"/>
      <c r="AB8" s="515"/>
      <c r="AC8" s="523"/>
      <c r="AD8" s="515"/>
      <c r="AE8" s="523"/>
      <c r="AF8" s="515"/>
      <c r="AG8" s="523"/>
      <c r="AH8" s="515"/>
      <c r="AI8" s="523"/>
      <c r="AJ8" s="515"/>
      <c r="AK8" s="523"/>
      <c r="AL8" s="515"/>
      <c r="AM8" s="523"/>
      <c r="AN8" s="515"/>
      <c r="AO8" s="523"/>
      <c r="AP8" s="515"/>
      <c r="AQ8" s="523"/>
      <c r="AR8" s="515"/>
      <c r="AS8" s="523"/>
      <c r="AT8" s="515"/>
      <c r="AU8" s="523"/>
      <c r="AV8" s="515"/>
      <c r="AW8" s="528"/>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5"/>
      <c r="AI9" s="523"/>
      <c r="AJ9" s="515"/>
      <c r="AK9" s="523"/>
      <c r="AL9" s="515"/>
      <c r="AM9" s="523"/>
      <c r="AN9" s="515"/>
      <c r="AO9" s="523"/>
      <c r="AP9" s="515"/>
      <c r="AQ9" s="523"/>
      <c r="AR9" s="515"/>
      <c r="AS9" s="523"/>
      <c r="AT9" s="515"/>
      <c r="AU9" s="523"/>
      <c r="AV9" s="515"/>
      <c r="AW9" s="528"/>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5" customFormat="1" ht="15" customHeight="1">
      <c r="A10" s="332" t="s">
        <v>65</v>
      </c>
      <c r="B10" s="624">
        <v>5001</v>
      </c>
      <c r="C10" s="625">
        <v>3</v>
      </c>
      <c r="D10" s="626" t="s">
        <v>617</v>
      </c>
      <c r="E10" s="218" t="s">
        <v>298</v>
      </c>
      <c r="F10" s="538"/>
      <c r="G10" s="524"/>
      <c r="H10" s="538"/>
      <c r="I10" s="524"/>
      <c r="J10" s="538"/>
      <c r="K10" s="524"/>
      <c r="L10" s="538"/>
      <c r="M10" s="524"/>
      <c r="N10" s="539"/>
      <c r="O10" s="633"/>
      <c r="P10" s="539"/>
      <c r="Q10" s="528"/>
      <c r="R10" s="539"/>
      <c r="S10" s="528"/>
      <c r="T10" s="539"/>
      <c r="U10" s="528"/>
      <c r="V10" s="539"/>
      <c r="W10" s="528"/>
      <c r="X10" s="539"/>
      <c r="Y10" s="528"/>
      <c r="Z10" s="539"/>
      <c r="AA10" s="528"/>
      <c r="AB10" s="539"/>
      <c r="AC10" s="528"/>
      <c r="AD10" s="539"/>
      <c r="AE10" s="528"/>
      <c r="AF10" s="539"/>
      <c r="AG10" s="528"/>
      <c r="AH10" s="539"/>
      <c r="AI10" s="528"/>
      <c r="AJ10" s="539"/>
      <c r="AK10" s="528"/>
      <c r="AL10" s="539"/>
      <c r="AM10" s="528"/>
      <c r="AN10" s="539"/>
      <c r="AO10" s="528"/>
      <c r="AP10" s="539"/>
      <c r="AQ10" s="528"/>
      <c r="AR10" s="539"/>
      <c r="AS10" s="528"/>
      <c r="AT10" s="539"/>
      <c r="AU10" s="528"/>
      <c r="AV10" s="539"/>
      <c r="AW10" s="524"/>
      <c r="AX10" s="582"/>
      <c r="AY10" s="336"/>
      <c r="AZ10" s="696">
        <v>3</v>
      </c>
      <c r="BA10" s="697" t="s">
        <v>120</v>
      </c>
      <c r="BB10" s="695" t="s">
        <v>78</v>
      </c>
      <c r="BC10" s="103" t="s">
        <v>82</v>
      </c>
      <c r="BD10" s="547"/>
      <c r="BE10" s="79" t="str">
        <f>IF(OR(ISBLANK(F10),ISBLANK(H10)),"N/A",IF(ABS((H10-F10)/F10)&gt;0.25,"&gt; 25%","ok"))</f>
        <v>N/A</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515">
        <v>100.540000915527</v>
      </c>
      <c r="AG14" s="528"/>
      <c r="AH14" s="515">
        <v>100.900001525879</v>
      </c>
      <c r="AI14" s="528"/>
      <c r="AJ14" s="515">
        <v>101.599998474121</v>
      </c>
      <c r="AK14" s="528"/>
      <c r="AL14" s="515">
        <v>101.900001525879</v>
      </c>
      <c r="AM14" s="528"/>
      <c r="AN14" s="515">
        <v>108.699996948242</v>
      </c>
      <c r="AO14" s="528"/>
      <c r="AP14" s="515">
        <v>79.9</v>
      </c>
      <c r="AQ14" s="528"/>
      <c r="AR14" s="515">
        <v>80.8</v>
      </c>
      <c r="AS14" s="528"/>
      <c r="AT14" s="515">
        <v>74.8</v>
      </c>
      <c r="AU14" s="528"/>
      <c r="AV14" s="515">
        <v>77.3</v>
      </c>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ok</v>
      </c>
      <c r="CF14" s="79"/>
      <c r="CG14" s="79" t="str">
        <f t="shared" si="12"/>
        <v>ok</v>
      </c>
      <c r="CH14" s="79"/>
      <c r="CI14" s="79" t="str">
        <f aca="true" t="shared" si="15" ref="CI14:CI40">IF(OR(ISBLANK(AJ14),ISBLANK(AL14)),"N/A",IF(ABS((AL14-AJ14)/AJ14)&gt;0.25,"&gt; 25%","ok"))</f>
        <v>ok</v>
      </c>
      <c r="CJ14" s="79"/>
      <c r="CK14" s="79" t="str">
        <f aca="true" t="shared" si="16" ref="CK14:CK40">IF(OR(ISBLANK(AL14),ISBLANK(AN14)),"N/A",IF(ABS((AN14-AL14)/AL14)&gt;0.25,"&gt; 25%","ok"))</f>
        <v>ok</v>
      </c>
      <c r="CL14" s="79"/>
      <c r="CM14" s="79" t="str">
        <f aca="true" t="shared" si="17" ref="CM14:CM40">IF(OR(ISBLANK(AN14),ISBLANK(AP14)),"N/A",IF(ABS((AP14-AN14)/AN14)&gt;0.25,"&gt; 25%","ok"))</f>
        <v>&gt; 25%</v>
      </c>
      <c r="CN14" s="79"/>
      <c r="CO14" s="79" t="str">
        <f aca="true" t="shared" si="18" ref="CO14:CO40">IF(OR(ISBLANK(AP14),ISBLANK(AR14)),"N/A",IF(ABS((AR14-AP14)/AP14)&gt;0.25,"&gt; 25%","ok"))</f>
        <v>ok</v>
      </c>
      <c r="CP14" s="79"/>
      <c r="CQ14" s="79" t="str">
        <f aca="true" t="shared" si="19" ref="CQ14:CQ40">IF(OR(ISBLANK(AR14),ISBLANK(AT14)),"N/A",IF(ABS((AT14-AR14)/AR14)&gt;0.25,"&gt; 25%","ok"))</f>
        <v>ok</v>
      </c>
      <c r="CR14" s="79"/>
      <c r="CS14" s="79" t="str">
        <f aca="true" t="shared" si="20" ref="CS14:CS40">IF(OR(ISBLANK(AT14),ISBLANK(AV14)),"N/A",IF(ABS((AV14-AT14)/AT14)&gt;0.25,"&gt; 25%","ok"))</f>
        <v>ok</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c r="AE15" s="528"/>
      <c r="AF15" s="515"/>
      <c r="AG15" s="528"/>
      <c r="AH15" s="515"/>
      <c r="AI15" s="528"/>
      <c r="AJ15" s="515"/>
      <c r="AK15" s="528"/>
      <c r="AL15" s="515"/>
      <c r="AM15" s="528"/>
      <c r="AN15" s="515"/>
      <c r="AO15" s="528"/>
      <c r="AP15" s="515"/>
      <c r="AQ15" s="528"/>
      <c r="AR15" s="515"/>
      <c r="AS15" s="528"/>
      <c r="AT15" s="515"/>
      <c r="AU15" s="528"/>
      <c r="AV15" s="515"/>
      <c r="AW15" s="528"/>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515"/>
      <c r="AG16" s="528"/>
      <c r="AH16" s="515"/>
      <c r="AI16" s="528"/>
      <c r="AJ16" s="515"/>
      <c r="AK16" s="528"/>
      <c r="AL16" s="515"/>
      <c r="AM16" s="528"/>
      <c r="AN16" s="515"/>
      <c r="AO16" s="528"/>
      <c r="AP16" s="515"/>
      <c r="AQ16" s="528"/>
      <c r="AR16" s="515"/>
      <c r="AS16" s="528"/>
      <c r="AT16" s="515"/>
      <c r="AU16" s="528"/>
      <c r="AV16" s="515"/>
      <c r="AW16" s="528"/>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c r="AW18" s="528"/>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5"/>
      <c r="AI19" s="528"/>
      <c r="AJ19" s="515"/>
      <c r="AK19" s="528"/>
      <c r="AL19" s="515"/>
      <c r="AM19" s="528"/>
      <c r="AN19" s="515"/>
      <c r="AO19" s="528"/>
      <c r="AP19" s="515"/>
      <c r="AQ19" s="528"/>
      <c r="AR19" s="515"/>
      <c r="AS19" s="528"/>
      <c r="AT19" s="515"/>
      <c r="AU19" s="528"/>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5"/>
      <c r="AI21" s="528"/>
      <c r="AJ21" s="515"/>
      <c r="AK21" s="528"/>
      <c r="AL21" s="515"/>
      <c r="AM21" s="528"/>
      <c r="AN21" s="515"/>
      <c r="AO21" s="528"/>
      <c r="AP21" s="515"/>
      <c r="AQ21" s="528"/>
      <c r="AR21" s="515"/>
      <c r="AS21" s="528"/>
      <c r="AT21" s="515"/>
      <c r="AU21" s="528"/>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v>41.9000015258789</v>
      </c>
      <c r="AG32" s="528"/>
      <c r="AH32" s="515">
        <v>39.9000015258789</v>
      </c>
      <c r="AI32" s="528"/>
      <c r="AJ32" s="515">
        <v>32.7999992370605</v>
      </c>
      <c r="AK32" s="528"/>
      <c r="AL32" s="515">
        <v>31.8999996185303</v>
      </c>
      <c r="AM32" s="528"/>
      <c r="AN32" s="515">
        <v>33.5</v>
      </c>
      <c r="AO32" s="528"/>
      <c r="AP32" s="745">
        <v>64.1</v>
      </c>
      <c r="AQ32" s="746"/>
      <c r="AR32" s="745">
        <v>57.6</v>
      </c>
      <c r="AS32" s="746"/>
      <c r="AT32" s="747">
        <v>59.8</v>
      </c>
      <c r="AU32" s="746"/>
      <c r="AV32" s="745">
        <v>60.3</v>
      </c>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ok</v>
      </c>
      <c r="CF32" s="79"/>
      <c r="CG32" s="79" t="str">
        <f t="shared" si="33"/>
        <v>ok</v>
      </c>
      <c r="CH32" s="79"/>
      <c r="CI32" s="79" t="str">
        <f t="shared" si="15"/>
        <v>ok</v>
      </c>
      <c r="CJ32" s="79"/>
      <c r="CK32" s="79" t="str">
        <f t="shared" si="16"/>
        <v>ok</v>
      </c>
      <c r="CL32" s="79"/>
      <c r="CM32" s="79" t="str">
        <f t="shared" si="17"/>
        <v>&gt; 25%</v>
      </c>
      <c r="CN32" s="79"/>
      <c r="CO32" s="79" t="str">
        <f t="shared" si="18"/>
        <v>ok</v>
      </c>
      <c r="CP32" s="79"/>
      <c r="CQ32" s="79" t="str">
        <f t="shared" si="19"/>
        <v>ok</v>
      </c>
      <c r="CR32" s="79"/>
      <c r="CS32" s="79" t="str">
        <f t="shared" si="20"/>
        <v>ok</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25"/>
      <c r="AR33" s="744"/>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v>34.9000015258789</v>
      </c>
      <c r="AG40" s="527"/>
      <c r="AH40" s="551">
        <v>34.7999992370605</v>
      </c>
      <c r="AI40" s="527"/>
      <c r="AJ40" s="551">
        <v>39.2000007629395</v>
      </c>
      <c r="AK40" s="527"/>
      <c r="AL40" s="551">
        <v>33.7000007629395</v>
      </c>
      <c r="AM40" s="527"/>
      <c r="AN40" s="551">
        <v>36.9000015258789</v>
      </c>
      <c r="AO40" s="527"/>
      <c r="AP40" s="748">
        <v>11.3</v>
      </c>
      <c r="AQ40" s="749"/>
      <c r="AR40" s="748">
        <v>18.5</v>
      </c>
      <c r="AS40" s="749"/>
      <c r="AT40" s="748">
        <v>18</v>
      </c>
      <c r="AU40" s="749"/>
      <c r="AV40" s="748">
        <v>16.8</v>
      </c>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ok</v>
      </c>
      <c r="CF40" s="79"/>
      <c r="CG40" s="79" t="str">
        <f t="shared" si="33"/>
        <v>ok</v>
      </c>
      <c r="CH40" s="79"/>
      <c r="CI40" s="79" t="str">
        <f t="shared" si="15"/>
        <v>ok</v>
      </c>
      <c r="CJ40" s="79"/>
      <c r="CK40" s="79" t="str">
        <f t="shared" si="16"/>
        <v>ok</v>
      </c>
      <c r="CL40" s="79"/>
      <c r="CM40" s="79" t="str">
        <f t="shared" si="17"/>
        <v>&gt; 25%</v>
      </c>
      <c r="CN40" s="79"/>
      <c r="CO40" s="79" t="str">
        <f t="shared" si="18"/>
        <v>&gt; 25%</v>
      </c>
      <c r="CP40" s="79"/>
      <c r="CQ40" s="79" t="str">
        <f t="shared" si="19"/>
        <v>ok</v>
      </c>
      <c r="CR40" s="79"/>
      <c r="CS40" s="79" t="str">
        <f t="shared" si="20"/>
        <v>ok</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44" t="s">
        <v>195</v>
      </c>
      <c r="E42" s="844"/>
      <c r="F42" s="844"/>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44" t="s">
        <v>250</v>
      </c>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3" t="s">
        <v>637</v>
      </c>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c r="AF44" s="873"/>
      <c r="AG44" s="873"/>
      <c r="AH44" s="873"/>
      <c r="AI44" s="873"/>
      <c r="AJ44" s="873"/>
      <c r="AK44" s="873"/>
      <c r="AL44" s="873"/>
      <c r="AM44" s="873"/>
      <c r="AN44" s="873"/>
      <c r="AO44" s="873"/>
      <c r="AP44" s="873"/>
      <c r="AQ44" s="873"/>
      <c r="AR44" s="873"/>
      <c r="AS44" s="873"/>
      <c r="AT44" s="873"/>
      <c r="AU44" s="873"/>
      <c r="AV44" s="873"/>
      <c r="AW44" s="873"/>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3" t="s">
        <v>623</v>
      </c>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873"/>
      <c r="AH45" s="873"/>
      <c r="AI45" s="873"/>
      <c r="AJ45" s="873"/>
      <c r="AK45" s="873"/>
      <c r="AL45" s="873"/>
      <c r="AM45" s="873"/>
      <c r="AN45" s="873"/>
      <c r="AO45" s="873"/>
      <c r="AP45" s="873"/>
      <c r="AQ45" s="873"/>
      <c r="AR45" s="873"/>
      <c r="AS45" s="873"/>
      <c r="AT45" s="873"/>
      <c r="AU45" s="873"/>
      <c r="AV45" s="873"/>
      <c r="AW45" s="873"/>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40" t="s">
        <v>143</v>
      </c>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0"/>
      <c r="AS46" s="840"/>
      <c r="AT46" s="840"/>
      <c r="AU46" s="840"/>
      <c r="AV46" s="840"/>
      <c r="AW46" s="840"/>
      <c r="AX46" s="840"/>
      <c r="AY46" s="347"/>
      <c r="AZ46" s="712">
        <v>3</v>
      </c>
      <c r="BA46" s="714" t="s">
        <v>120</v>
      </c>
      <c r="BB46" s="693"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44" t="s">
        <v>110</v>
      </c>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347"/>
      <c r="AZ47" s="715">
        <v>32</v>
      </c>
      <c r="BA47" s="716" t="s">
        <v>223</v>
      </c>
      <c r="BB47" s="693"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45"/>
      <c r="G49" s="845"/>
      <c r="H49" s="845"/>
      <c r="I49" s="845"/>
      <c r="J49" s="845"/>
      <c r="K49" s="845"/>
      <c r="L49" s="845"/>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66" t="str">
        <f>D11&amp;" (W2,4)"</f>
        <v>Water returned without use (W2,4)</v>
      </c>
      <c r="M50" s="868"/>
      <c r="N50" s="868"/>
      <c r="O50" s="868"/>
      <c r="P50" s="869"/>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66" t="str">
        <f>LEFT(D12,LEN(D12)-7)&amp;" (W2,5)"</f>
        <v>Net freshwater abstracted (W2,5)</v>
      </c>
      <c r="F51" s="801"/>
      <c r="G51" s="801"/>
      <c r="H51" s="867"/>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45"/>
      <c r="AR51" s="845"/>
      <c r="AS51" s="845"/>
      <c r="AT51" s="845"/>
      <c r="AU51" s="845"/>
      <c r="AV51" s="845"/>
      <c r="AW51" s="845"/>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45"/>
      <c r="AR52" s="845"/>
      <c r="AS52" s="845"/>
      <c r="AT52" s="845"/>
      <c r="AU52" s="845"/>
      <c r="AV52" s="845"/>
      <c r="AW52" s="845"/>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74" t="str">
        <f>D24&amp;" (W2,16)"</f>
        <v>Desalinated water (W2,16)</v>
      </c>
      <c r="G53" s="875"/>
      <c r="H53" s="876"/>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45"/>
      <c r="AL53" s="889"/>
      <c r="AM53" s="889"/>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100.540000915527</v>
      </c>
      <c r="CD53" s="82"/>
      <c r="CE53" s="82">
        <f>SUM(AH14:AH16)+SUM(AH18:AH20)+SUM(AH22:AH23)</f>
        <v>100.900001525879</v>
      </c>
      <c r="CF53" s="82"/>
      <c r="CG53" s="82">
        <f>SUM(AJ14:AJ16)+SUM(AJ18:AJ20)+SUM(AJ22:AJ23)</f>
        <v>101.599998474121</v>
      </c>
      <c r="CH53" s="82"/>
      <c r="CI53" s="82">
        <f>SUM(AL14:AL16)+SUM(AL18:AL20)+SUM(AL22:AL23)</f>
        <v>101.900001525879</v>
      </c>
      <c r="CJ53" s="82"/>
      <c r="CK53" s="82">
        <f>SUM(AN14:AN16)+SUM(AN18:AN20)+SUM(AN22:AN23)</f>
        <v>108.699996948242</v>
      </c>
      <c r="CL53" s="82"/>
      <c r="CM53" s="82">
        <f>SUM(AP14:AP16)+SUM(AP18:AP20)+SUM(AP22:AP23)</f>
        <v>79.9</v>
      </c>
      <c r="CN53" s="82"/>
      <c r="CO53" s="82">
        <f>SUM(AR14:AR16)+SUM(AR18:AR20)+SUM(AR22:AR23)</f>
        <v>80.8</v>
      </c>
      <c r="CP53" s="82"/>
      <c r="CQ53" s="82">
        <f>SUM(AT14:AT16)+SUM(AT18:AT20)+SUM(AT22:AT23)</f>
        <v>74.8</v>
      </c>
      <c r="CR53" s="82"/>
      <c r="CS53" s="82">
        <f>SUM(AV14:AV16)+SUM(AV18:AV20)+SUM(AV22:AV23)</f>
        <v>77.3</v>
      </c>
      <c r="CT53" s="82"/>
    </row>
    <row r="54" spans="2:98" ht="11.25" customHeight="1">
      <c r="B54" s="489"/>
      <c r="C54" s="498"/>
      <c r="D54" s="499"/>
      <c r="E54" s="493"/>
      <c r="F54" s="886"/>
      <c r="G54" s="887"/>
      <c r="H54" s="888"/>
      <c r="I54" s="493"/>
      <c r="J54" s="493"/>
      <c r="K54" s="493"/>
      <c r="L54" s="493"/>
      <c r="M54" s="493"/>
      <c r="N54" s="493"/>
      <c r="O54" s="493"/>
      <c r="P54" s="493"/>
      <c r="Q54" s="493"/>
      <c r="R54" s="493"/>
      <c r="S54" s="493"/>
      <c r="T54" s="493"/>
      <c r="U54" s="893" t="s">
        <v>514</v>
      </c>
      <c r="V54" s="894"/>
      <c r="W54" s="493"/>
      <c r="X54" s="493"/>
      <c r="Y54" s="493"/>
      <c r="Z54" s="511"/>
      <c r="AK54" s="889"/>
      <c r="AL54" s="889"/>
      <c r="AM54" s="889"/>
      <c r="AN54" s="493"/>
      <c r="AO54" s="493"/>
      <c r="AP54" s="493"/>
      <c r="AQ54" s="845"/>
      <c r="AR54" s="889"/>
      <c r="AS54" s="889"/>
      <c r="AT54" s="889"/>
      <c r="AU54" s="889"/>
      <c r="AV54" s="889"/>
      <c r="AW54" s="889"/>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74" t="str">
        <f>LEFT(D28,LEN(D28)-16)&amp;" (W2,20)"</f>
        <v>Total freshwater available for use  (W2,20)</v>
      </c>
      <c r="M55" s="875"/>
      <c r="N55" s="876"/>
      <c r="O55" s="493"/>
      <c r="P55" s="493"/>
      <c r="Q55" s="874" t="str">
        <f>LEFT(D30,LEN(D30)-8)&amp;" (W2,22)"</f>
        <v>Total freshwater use  (W2,22)</v>
      </c>
      <c r="R55" s="875"/>
      <c r="S55" s="876"/>
      <c r="U55" s="894"/>
      <c r="V55" s="894"/>
      <c r="W55" s="493"/>
      <c r="X55" s="493"/>
      <c r="Y55" s="493"/>
      <c r="Z55" s="511"/>
      <c r="AA55" s="866" t="str">
        <f>D32&amp;" (W2,23)"</f>
        <v>    Households  (W2,23)</v>
      </c>
      <c r="AB55" s="890"/>
      <c r="AC55" s="890"/>
      <c r="AD55" s="890"/>
      <c r="AE55" s="890"/>
      <c r="AF55" s="890"/>
      <c r="AG55" s="890"/>
      <c r="AH55" s="891"/>
      <c r="AI55" s="891"/>
      <c r="AJ55" s="892"/>
      <c r="AK55" s="889"/>
      <c r="AL55" s="889"/>
      <c r="AM55" s="889"/>
      <c r="AN55" s="895"/>
      <c r="AO55" s="896"/>
      <c r="AP55" s="493"/>
      <c r="AQ55" s="889"/>
      <c r="AR55" s="889"/>
      <c r="AS55" s="889"/>
      <c r="AT55" s="889"/>
      <c r="AU55" s="889"/>
      <c r="AV55" s="889"/>
      <c r="AW55" s="889"/>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77"/>
      <c r="M56" s="878"/>
      <c r="N56" s="879"/>
      <c r="O56" s="493"/>
      <c r="P56" s="493"/>
      <c r="Q56" s="877"/>
      <c r="R56" s="878"/>
      <c r="S56" s="879"/>
      <c r="T56" s="493"/>
      <c r="U56" s="493"/>
      <c r="V56" s="493"/>
      <c r="W56" s="493"/>
      <c r="X56" s="493"/>
      <c r="Y56" s="493"/>
      <c r="Z56" s="495"/>
      <c r="AK56" s="889"/>
      <c r="AL56" s="889"/>
      <c r="AM56" s="889"/>
      <c r="AN56" s="897"/>
      <c r="AO56" s="896"/>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66" t="str">
        <f>D25&amp;" (W2,17)"</f>
        <v>Reused water (W2,17)</v>
      </c>
      <c r="G57" s="801"/>
      <c r="H57" s="802"/>
      <c r="I57" s="493"/>
      <c r="J57" s="493"/>
      <c r="K57" s="493"/>
      <c r="L57" s="877"/>
      <c r="M57" s="878"/>
      <c r="N57" s="879"/>
      <c r="O57" s="493"/>
      <c r="P57" s="493"/>
      <c r="Q57" s="877"/>
      <c r="R57" s="878"/>
      <c r="S57" s="879"/>
      <c r="T57" s="493"/>
      <c r="U57" s="493"/>
      <c r="V57" s="493"/>
      <c r="W57" s="493"/>
      <c r="X57" s="493"/>
      <c r="Y57" s="493"/>
      <c r="Z57" s="253"/>
      <c r="AA57" s="883" t="str">
        <f>D33&amp;" (W2,24)"</f>
        <v>Agriculture, forestry and fishing (ISIC 01-03) (W2,24)</v>
      </c>
      <c r="AB57" s="801"/>
      <c r="AC57" s="801"/>
      <c r="AD57" s="801"/>
      <c r="AE57" s="801"/>
      <c r="AF57" s="801"/>
      <c r="AG57" s="801"/>
      <c r="AH57" s="884"/>
      <c r="AI57" s="884"/>
      <c r="AJ57" s="885"/>
      <c r="AK57" s="889"/>
      <c r="AL57" s="889"/>
      <c r="AM57" s="889"/>
      <c r="AN57" s="501"/>
      <c r="AO57" s="502"/>
      <c r="AP57" s="493"/>
      <c r="AQ57" s="845"/>
      <c r="AR57" s="845"/>
      <c r="AS57" s="845"/>
      <c r="AT57" s="845"/>
      <c r="AU57" s="845"/>
      <c r="AV57" s="845"/>
      <c r="AW57" s="845"/>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77"/>
      <c r="M58" s="878"/>
      <c r="N58" s="879"/>
      <c r="O58" s="493"/>
      <c r="P58" s="493"/>
      <c r="Q58" s="877"/>
      <c r="R58" s="878"/>
      <c r="S58" s="879"/>
      <c r="T58" s="493"/>
      <c r="U58" s="493"/>
      <c r="V58" s="493"/>
      <c r="W58" s="493"/>
      <c r="X58" s="493"/>
      <c r="Y58" s="493"/>
      <c r="Z58" s="495"/>
      <c r="AA58" s="493"/>
      <c r="AB58" s="493"/>
      <c r="AC58" s="493"/>
      <c r="AD58" s="493"/>
      <c r="AE58" s="493"/>
      <c r="AF58" s="493"/>
      <c r="AG58" s="493"/>
      <c r="AH58" s="493"/>
      <c r="AI58" s="493"/>
      <c r="AJ58" s="493"/>
      <c r="AK58" s="889"/>
      <c r="AL58" s="889"/>
      <c r="AM58" s="889"/>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77"/>
      <c r="M59" s="878"/>
      <c r="N59" s="879"/>
      <c r="O59" s="493"/>
      <c r="P59" s="493"/>
      <c r="Q59" s="877"/>
      <c r="R59" s="878"/>
      <c r="S59" s="879"/>
      <c r="T59" s="493"/>
      <c r="U59" s="493"/>
      <c r="V59" s="493"/>
      <c r="W59" s="493"/>
      <c r="X59" s="493"/>
      <c r="Y59" s="493"/>
      <c r="Z59" s="495"/>
      <c r="AA59" s="883" t="str">
        <f>D35&amp;" (W2,26)"</f>
        <v>Mining and quarrying (ISIC 05-09) (W2,26)</v>
      </c>
      <c r="AB59" s="801"/>
      <c r="AC59" s="801"/>
      <c r="AD59" s="801"/>
      <c r="AE59" s="801"/>
      <c r="AF59" s="801"/>
      <c r="AG59" s="801"/>
      <c r="AH59" s="884"/>
      <c r="AI59" s="884"/>
      <c r="AJ59" s="885"/>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77"/>
      <c r="M60" s="878"/>
      <c r="N60" s="879"/>
      <c r="O60" s="493"/>
      <c r="P60" s="493"/>
      <c r="Q60" s="877"/>
      <c r="R60" s="878"/>
      <c r="S60" s="879"/>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77"/>
      <c r="M61" s="878"/>
      <c r="N61" s="879"/>
      <c r="O61" s="493"/>
      <c r="P61" s="493"/>
      <c r="Q61" s="877"/>
      <c r="R61" s="878"/>
      <c r="S61" s="879"/>
      <c r="T61" s="493"/>
      <c r="U61" s="493"/>
      <c r="V61" s="493"/>
      <c r="W61" s="493"/>
      <c r="X61" s="493"/>
      <c r="Y61" s="493"/>
      <c r="Z61" s="495"/>
      <c r="AA61" s="883" t="str">
        <f>D36&amp;" (W2,27)"</f>
        <v>Manufacturing (ISIC 10-33) (W2,27)</v>
      </c>
      <c r="AB61" s="801"/>
      <c r="AC61" s="801"/>
      <c r="AD61" s="801"/>
      <c r="AE61" s="801"/>
      <c r="AF61" s="801"/>
      <c r="AG61" s="801"/>
      <c r="AH61" s="884"/>
      <c r="AI61" s="884"/>
      <c r="AJ61" s="885"/>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77"/>
      <c r="M62" s="878"/>
      <c r="N62" s="879"/>
      <c r="O62" s="493"/>
      <c r="P62" s="493"/>
      <c r="Q62" s="877"/>
      <c r="R62" s="878"/>
      <c r="S62" s="879"/>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86"/>
      <c r="M63" s="887"/>
      <c r="N63" s="888"/>
      <c r="O63" s="493"/>
      <c r="P63" s="493"/>
      <c r="Q63" s="886"/>
      <c r="R63" s="887"/>
      <c r="S63" s="888"/>
      <c r="T63" s="493"/>
      <c r="U63" s="493"/>
      <c r="V63" s="493"/>
      <c r="W63" s="493"/>
      <c r="X63" s="496"/>
      <c r="Y63" s="253"/>
      <c r="Z63" s="253"/>
      <c r="AA63" s="883" t="str">
        <f>D37&amp;" (W2,28)"</f>
        <v>Electricity, gas, steam and air conditioning supply  (ISIC 35) (W2,28)</v>
      </c>
      <c r="AB63" s="801"/>
      <c r="AC63" s="801"/>
      <c r="AD63" s="801"/>
      <c r="AE63" s="801"/>
      <c r="AF63" s="801"/>
      <c r="AG63" s="801"/>
      <c r="AH63" s="884"/>
      <c r="AI63" s="884"/>
      <c r="AJ63" s="885"/>
      <c r="AK63" s="495"/>
      <c r="AL63" s="495"/>
      <c r="AM63" s="495"/>
      <c r="AN63" s="493"/>
      <c r="AO63" s="493"/>
      <c r="AP63" s="493"/>
      <c r="AQ63" s="845"/>
      <c r="AR63" s="845"/>
      <c r="AS63" s="845"/>
      <c r="AT63" s="845"/>
      <c r="AU63" s="845"/>
      <c r="AV63" s="845"/>
      <c r="AW63" s="845"/>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74" t="str">
        <f>D26&amp;" - "&amp;D27&amp;"  =(W2,18) - (W2,19)"</f>
        <v>Imports of water - Exports of water  =(W2,18) - (W2,19)</v>
      </c>
      <c r="G64" s="875"/>
      <c r="H64" s="876"/>
      <c r="I64" s="493"/>
      <c r="J64" s="493"/>
      <c r="K64" s="493"/>
      <c r="L64" s="493"/>
      <c r="M64" s="493"/>
      <c r="N64" s="493"/>
      <c r="O64" s="493"/>
      <c r="P64" s="493"/>
      <c r="Q64" s="493"/>
      <c r="R64" s="493"/>
      <c r="S64" s="493"/>
      <c r="T64" s="493"/>
      <c r="U64" s="493"/>
      <c r="V64" s="493"/>
      <c r="W64" s="493"/>
      <c r="X64" s="496"/>
      <c r="Y64" s="253"/>
      <c r="Z64" s="556"/>
      <c r="AB64" s="845"/>
      <c r="AC64" s="845"/>
      <c r="AD64" s="845"/>
      <c r="AE64" s="845"/>
      <c r="AF64" s="845"/>
      <c r="AG64" s="845"/>
      <c r="AH64" s="845"/>
      <c r="AI64" s="845"/>
      <c r="AJ64" s="845"/>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77"/>
      <c r="G65" s="878"/>
      <c r="H65" s="879"/>
      <c r="I65" s="493"/>
      <c r="J65" s="493"/>
      <c r="K65" s="493"/>
      <c r="L65" s="493"/>
      <c r="M65" s="493"/>
      <c r="N65" s="874" t="str">
        <f>D29&amp;" (W2,21)"</f>
        <v>Losses during transport (W2,21)</v>
      </c>
      <c r="O65" s="875"/>
      <c r="P65" s="876"/>
      <c r="Q65" s="493"/>
      <c r="R65" s="493"/>
      <c r="S65" s="493"/>
      <c r="T65" s="493"/>
      <c r="U65" s="493"/>
      <c r="V65" s="493"/>
      <c r="W65" s="493"/>
      <c r="X65" s="496"/>
      <c r="Y65" s="253"/>
      <c r="Z65" s="556"/>
      <c r="AA65" s="883" t="str">
        <f>D39&amp;" (W2,30)"</f>
        <v>Construction (ISIC 41-43) (W2,30)</v>
      </c>
      <c r="AB65" s="801"/>
      <c r="AC65" s="801"/>
      <c r="AD65" s="801"/>
      <c r="AE65" s="801"/>
      <c r="AF65" s="801"/>
      <c r="AG65" s="801"/>
      <c r="AH65" s="884"/>
      <c r="AI65" s="884"/>
      <c r="AJ65" s="885"/>
      <c r="AK65" s="253"/>
      <c r="AL65" s="253"/>
      <c r="AM65" s="495"/>
      <c r="AN65" s="493"/>
      <c r="AO65" s="493"/>
      <c r="AP65" s="493"/>
      <c r="AQ65" s="845"/>
      <c r="AR65" s="845"/>
      <c r="AS65" s="845"/>
      <c r="AT65" s="845"/>
      <c r="AU65" s="845"/>
      <c r="AV65" s="845"/>
      <c r="AW65" s="845"/>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80"/>
      <c r="G66" s="881"/>
      <c r="H66" s="882"/>
      <c r="I66" s="493"/>
      <c r="J66" s="493"/>
      <c r="K66" s="493"/>
      <c r="L66" s="493"/>
      <c r="M66" s="493"/>
      <c r="N66" s="886"/>
      <c r="O66" s="887"/>
      <c r="P66" s="888"/>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83" t="str">
        <f>D40&amp;" (W2,31)"</f>
        <v>Other economic activities (W2,31)</v>
      </c>
      <c r="AB67" s="801"/>
      <c r="AC67" s="801"/>
      <c r="AD67" s="801"/>
      <c r="AE67" s="801"/>
      <c r="AF67" s="801"/>
      <c r="AG67" s="801"/>
      <c r="AH67" s="884"/>
      <c r="AI67" s="884"/>
      <c r="AJ67" s="885"/>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3:99" ht="18" customHeight="1">
      <c r="C71" s="484"/>
      <c r="D71" s="841"/>
      <c r="E71" s="842"/>
      <c r="F71" s="842"/>
      <c r="G71" s="842"/>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3:99" ht="18" customHeight="1">
      <c r="C72" s="484"/>
      <c r="D72" s="853"/>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3:99" ht="18" customHeight="1">
      <c r="C73" s="484"/>
      <c r="D73" s="853"/>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53"/>
      <c r="E74" s="854"/>
      <c r="F74" s="854"/>
      <c r="G74" s="854"/>
      <c r="H74" s="854"/>
      <c r="I74" s="854"/>
      <c r="J74" s="854"/>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53"/>
      <c r="E75" s="854"/>
      <c r="F75" s="854"/>
      <c r="G75" s="854"/>
      <c r="H75" s="854"/>
      <c r="I75" s="854"/>
      <c r="J75" s="854"/>
      <c r="K75" s="854"/>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4"/>
      <c r="AI75" s="854"/>
      <c r="AJ75" s="854"/>
      <c r="AK75" s="854"/>
      <c r="AL75" s="854"/>
      <c r="AM75" s="854"/>
      <c r="AN75" s="854"/>
      <c r="AO75" s="854"/>
      <c r="AP75" s="854"/>
      <c r="AQ75" s="854"/>
      <c r="AR75" s="854"/>
      <c r="AS75" s="854"/>
      <c r="AT75" s="854"/>
      <c r="AU75" s="854"/>
      <c r="AV75" s="854"/>
      <c r="AW75" s="854"/>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53"/>
      <c r="E76" s="854"/>
      <c r="F76" s="854"/>
      <c r="G76" s="854"/>
      <c r="H76" s="854"/>
      <c r="I76" s="854"/>
      <c r="J76" s="854"/>
      <c r="K76" s="854"/>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4"/>
      <c r="AJ76" s="854"/>
      <c r="AK76" s="854"/>
      <c r="AL76" s="854"/>
      <c r="AM76" s="854"/>
      <c r="AN76" s="854"/>
      <c r="AO76" s="854"/>
      <c r="AP76" s="854"/>
      <c r="AQ76" s="854"/>
      <c r="AR76" s="854"/>
      <c r="AS76" s="854"/>
      <c r="AT76" s="854"/>
      <c r="AU76" s="854"/>
      <c r="AV76" s="854"/>
      <c r="AW76" s="854"/>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53"/>
      <c r="E77" s="854"/>
      <c r="F77" s="854"/>
      <c r="G77" s="85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54"/>
      <c r="AS77" s="854"/>
      <c r="AT77" s="854"/>
      <c r="AU77" s="854"/>
      <c r="AV77" s="854"/>
      <c r="AW77" s="854"/>
      <c r="AX77" s="585"/>
      <c r="CU77" s="270"/>
    </row>
    <row r="78" spans="3:99" ht="18" customHeight="1">
      <c r="C78" s="484"/>
      <c r="D78" s="853"/>
      <c r="E78" s="854"/>
      <c r="F78" s="854"/>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585"/>
      <c r="CU78" s="270"/>
    </row>
    <row r="79" spans="3:99" ht="18" customHeight="1">
      <c r="C79" s="484"/>
      <c r="D79" s="853"/>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585"/>
      <c r="CU79" s="270"/>
    </row>
    <row r="80" spans="3:99" ht="18" customHeight="1">
      <c r="C80" s="484"/>
      <c r="D80" s="853"/>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585"/>
      <c r="CU80" s="270"/>
    </row>
    <row r="81" spans="3:99" ht="18" customHeight="1">
      <c r="C81" s="484"/>
      <c r="D81" s="853"/>
      <c r="E81" s="854"/>
      <c r="F81" s="854"/>
      <c r="G81" s="854"/>
      <c r="H81" s="854"/>
      <c r="I81" s="854"/>
      <c r="J81" s="854"/>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585"/>
      <c r="CU81" s="270"/>
    </row>
    <row r="82" spans="3:99" ht="18" customHeight="1">
      <c r="C82" s="484"/>
      <c r="D82" s="853"/>
      <c r="E82" s="854"/>
      <c r="F82" s="854"/>
      <c r="G82" s="854"/>
      <c r="H82" s="854"/>
      <c r="I82" s="854"/>
      <c r="J82" s="854"/>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585"/>
      <c r="CU82" s="270"/>
    </row>
    <row r="83" spans="3:99" ht="18" customHeight="1">
      <c r="C83" s="484"/>
      <c r="D83" s="853"/>
      <c r="E83" s="854"/>
      <c r="F83" s="854"/>
      <c r="G83" s="854"/>
      <c r="H83" s="854"/>
      <c r="I83" s="854"/>
      <c r="J83" s="854"/>
      <c r="K83" s="854"/>
      <c r="L83" s="854"/>
      <c r="M83" s="854"/>
      <c r="N83" s="854"/>
      <c r="O83" s="854"/>
      <c r="P83" s="854"/>
      <c r="Q83" s="854"/>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585"/>
      <c r="CU83" s="270"/>
    </row>
    <row r="84" spans="2:99" ht="18" customHeight="1">
      <c r="B84" s="367"/>
      <c r="C84" s="484"/>
      <c r="D84" s="853"/>
      <c r="E84" s="854"/>
      <c r="F84" s="854"/>
      <c r="G84" s="854"/>
      <c r="H84" s="854"/>
      <c r="I84" s="854"/>
      <c r="J84" s="854"/>
      <c r="K84" s="854"/>
      <c r="L84" s="854"/>
      <c r="M84" s="854"/>
      <c r="N84" s="854"/>
      <c r="O84" s="854"/>
      <c r="P84" s="854"/>
      <c r="Q84" s="854"/>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585"/>
      <c r="CU84" s="270"/>
    </row>
    <row r="85" spans="3:99" ht="18" customHeight="1">
      <c r="C85" s="484"/>
      <c r="D85" s="853"/>
      <c r="E85" s="854"/>
      <c r="F85" s="854"/>
      <c r="G85" s="854"/>
      <c r="H85" s="854"/>
      <c r="I85" s="854"/>
      <c r="J85" s="854"/>
      <c r="K85" s="854"/>
      <c r="L85" s="854"/>
      <c r="M85" s="854"/>
      <c r="N85" s="854"/>
      <c r="O85" s="854"/>
      <c r="P85" s="854"/>
      <c r="Q85" s="854"/>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585"/>
      <c r="CU85" s="270"/>
    </row>
    <row r="86" spans="3:99" ht="18" customHeight="1">
      <c r="C86" s="484"/>
      <c r="D86" s="853"/>
      <c r="E86" s="854"/>
      <c r="F86" s="854"/>
      <c r="G86" s="854"/>
      <c r="H86" s="854"/>
      <c r="I86" s="854"/>
      <c r="J86" s="854"/>
      <c r="K86" s="854"/>
      <c r="L86" s="854"/>
      <c r="M86" s="854"/>
      <c r="N86" s="854"/>
      <c r="O86" s="854"/>
      <c r="P86" s="854"/>
      <c r="Q86" s="854"/>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585"/>
      <c r="CU86" s="270"/>
    </row>
    <row r="87" spans="3:99" ht="18" customHeight="1">
      <c r="C87" s="484"/>
      <c r="D87" s="853"/>
      <c r="E87" s="854"/>
      <c r="F87" s="854"/>
      <c r="G87" s="854"/>
      <c r="H87" s="854"/>
      <c r="I87" s="854"/>
      <c r="J87" s="854"/>
      <c r="K87" s="854"/>
      <c r="L87" s="854"/>
      <c r="M87" s="854"/>
      <c r="N87" s="854"/>
      <c r="O87" s="854"/>
      <c r="P87" s="854"/>
      <c r="Q87" s="854"/>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585"/>
      <c r="CU87" s="270"/>
    </row>
    <row r="88" spans="3:50" ht="18" customHeight="1">
      <c r="C88" s="484"/>
      <c r="D88" s="853"/>
      <c r="E88" s="854"/>
      <c r="F88" s="854"/>
      <c r="G88" s="854"/>
      <c r="H88" s="854"/>
      <c r="I88" s="854"/>
      <c r="J88" s="854"/>
      <c r="K88" s="854"/>
      <c r="L88" s="854"/>
      <c r="M88" s="854"/>
      <c r="N88" s="854"/>
      <c r="O88" s="854"/>
      <c r="P88" s="854"/>
      <c r="Q88" s="854"/>
      <c r="R88" s="854"/>
      <c r="S88" s="854"/>
      <c r="T88" s="854"/>
      <c r="U88" s="854"/>
      <c r="V88" s="854"/>
      <c r="W88" s="854"/>
      <c r="X88" s="854"/>
      <c r="Y88" s="854"/>
      <c r="Z88" s="854"/>
      <c r="AA88" s="854"/>
      <c r="AB88" s="854"/>
      <c r="AC88" s="854"/>
      <c r="AD88" s="854"/>
      <c r="AE88" s="854"/>
      <c r="AF88" s="854"/>
      <c r="AG88" s="854"/>
      <c r="AH88" s="854"/>
      <c r="AI88" s="854"/>
      <c r="AJ88" s="854"/>
      <c r="AK88" s="854"/>
      <c r="AL88" s="854"/>
      <c r="AM88" s="854"/>
      <c r="AN88" s="854"/>
      <c r="AO88" s="854"/>
      <c r="AP88" s="854"/>
      <c r="AQ88" s="854"/>
      <c r="AR88" s="854"/>
      <c r="AS88" s="854"/>
      <c r="AT88" s="854"/>
      <c r="AU88" s="854"/>
      <c r="AV88" s="854"/>
      <c r="AW88" s="854"/>
      <c r="AX88" s="585"/>
    </row>
    <row r="89" spans="3:50" ht="18" customHeight="1">
      <c r="C89" s="484"/>
      <c r="D89" s="853"/>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4"/>
      <c r="AI89" s="854"/>
      <c r="AJ89" s="854"/>
      <c r="AK89" s="854"/>
      <c r="AL89" s="854"/>
      <c r="AM89" s="854"/>
      <c r="AN89" s="854"/>
      <c r="AO89" s="854"/>
      <c r="AP89" s="854"/>
      <c r="AQ89" s="854"/>
      <c r="AR89" s="854"/>
      <c r="AS89" s="854"/>
      <c r="AT89" s="854"/>
      <c r="AU89" s="854"/>
      <c r="AV89" s="854"/>
      <c r="AW89" s="854"/>
      <c r="AX89" s="585"/>
    </row>
    <row r="90" spans="2:98" ht="18" customHeight="1">
      <c r="B90" s="490"/>
      <c r="C90" s="484"/>
      <c r="D90" s="853"/>
      <c r="E90" s="854"/>
      <c r="F90" s="854"/>
      <c r="G90" s="854"/>
      <c r="H90" s="854"/>
      <c r="I90" s="854"/>
      <c r="J90" s="854"/>
      <c r="K90" s="854"/>
      <c r="L90" s="854"/>
      <c r="M90" s="854"/>
      <c r="N90" s="854"/>
      <c r="O90" s="854"/>
      <c r="P90" s="854"/>
      <c r="Q90" s="854"/>
      <c r="R90" s="854"/>
      <c r="S90" s="854"/>
      <c r="T90" s="854"/>
      <c r="U90" s="854"/>
      <c r="V90" s="854"/>
      <c r="W90" s="854"/>
      <c r="X90" s="854"/>
      <c r="Y90" s="854"/>
      <c r="Z90" s="854"/>
      <c r="AA90" s="854"/>
      <c r="AB90" s="854"/>
      <c r="AC90" s="854"/>
      <c r="AD90" s="854"/>
      <c r="AE90" s="854"/>
      <c r="AF90" s="854"/>
      <c r="AG90" s="854"/>
      <c r="AH90" s="854"/>
      <c r="AI90" s="854"/>
      <c r="AJ90" s="854"/>
      <c r="AK90" s="854"/>
      <c r="AL90" s="854"/>
      <c r="AM90" s="854"/>
      <c r="AN90" s="854"/>
      <c r="AO90" s="854"/>
      <c r="AP90" s="854"/>
      <c r="AQ90" s="854"/>
      <c r="AR90" s="854"/>
      <c r="AS90" s="854"/>
      <c r="AT90" s="854"/>
      <c r="AU90" s="854"/>
      <c r="AV90" s="854"/>
      <c r="AW90" s="854"/>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53"/>
      <c r="E91" s="854"/>
      <c r="F91" s="854"/>
      <c r="G91" s="854"/>
      <c r="H91" s="854"/>
      <c r="I91" s="854"/>
      <c r="J91" s="854"/>
      <c r="K91" s="854"/>
      <c r="L91" s="854"/>
      <c r="M91" s="854"/>
      <c r="N91" s="854"/>
      <c r="O91" s="854"/>
      <c r="P91" s="854"/>
      <c r="Q91" s="854"/>
      <c r="R91" s="854"/>
      <c r="S91" s="854"/>
      <c r="T91" s="854"/>
      <c r="U91" s="854"/>
      <c r="V91" s="854"/>
      <c r="W91" s="854"/>
      <c r="X91" s="854"/>
      <c r="Y91" s="854"/>
      <c r="Z91" s="854"/>
      <c r="AA91" s="854"/>
      <c r="AB91" s="854"/>
      <c r="AC91" s="854"/>
      <c r="AD91" s="854"/>
      <c r="AE91" s="854"/>
      <c r="AF91" s="854"/>
      <c r="AG91" s="854"/>
      <c r="AH91" s="854"/>
      <c r="AI91" s="854"/>
      <c r="AJ91" s="854"/>
      <c r="AK91" s="854"/>
      <c r="AL91" s="854"/>
      <c r="AM91" s="854"/>
      <c r="AN91" s="854"/>
      <c r="AO91" s="854"/>
      <c r="AP91" s="854"/>
      <c r="AQ91" s="854"/>
      <c r="AR91" s="854"/>
      <c r="AS91" s="854"/>
      <c r="AT91" s="854"/>
      <c r="AU91" s="854"/>
      <c r="AV91" s="854"/>
      <c r="AW91" s="854"/>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sheet="1"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D3" sqref="D3"/>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496</v>
      </c>
      <c r="C3" s="299" t="s">
        <v>296</v>
      </c>
      <c r="D3" s="29" t="s">
        <v>414</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902"/>
      <c r="BH3" s="902"/>
      <c r="BI3" s="902"/>
      <c r="BJ3" s="385"/>
      <c r="BK3" s="385"/>
      <c r="BL3" s="385"/>
      <c r="BM3" s="902"/>
      <c r="BN3" s="902"/>
      <c r="BO3" s="902"/>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70" t="s">
        <v>197</v>
      </c>
      <c r="D5" s="870"/>
      <c r="E5" s="903"/>
      <c r="F5" s="903"/>
      <c r="G5" s="903"/>
      <c r="H5" s="903"/>
      <c r="I5" s="872"/>
      <c r="J5" s="872"/>
      <c r="K5" s="872"/>
      <c r="L5" s="872"/>
      <c r="M5" s="872"/>
      <c r="N5" s="872"/>
      <c r="O5" s="872"/>
      <c r="P5" s="872"/>
      <c r="Q5" s="872"/>
      <c r="R5" s="872"/>
      <c r="S5" s="872"/>
      <c r="T5" s="872"/>
      <c r="U5" s="872"/>
      <c r="V5" s="872"/>
      <c r="W5" s="872"/>
      <c r="X5" s="903"/>
      <c r="Y5" s="872"/>
      <c r="Z5" s="903"/>
      <c r="AA5" s="872"/>
      <c r="AB5" s="903"/>
      <c r="AC5" s="872"/>
      <c r="AD5" s="903"/>
      <c r="AE5" s="872"/>
      <c r="AF5" s="903"/>
      <c r="AG5" s="872"/>
      <c r="AH5" s="903"/>
      <c r="AI5" s="872"/>
      <c r="AJ5" s="872"/>
      <c r="AK5" s="872"/>
      <c r="AL5" s="903"/>
      <c r="AM5" s="872"/>
      <c r="AN5" s="903"/>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755">
        <v>41.9000015258789</v>
      </c>
      <c r="AG12" s="756"/>
      <c r="AH12" s="755">
        <v>39.9000015258789</v>
      </c>
      <c r="AI12" s="756"/>
      <c r="AJ12" s="755">
        <v>32.7999992370605</v>
      </c>
      <c r="AK12" s="756"/>
      <c r="AL12" s="755">
        <v>31.8999996185303</v>
      </c>
      <c r="AM12" s="756"/>
      <c r="AN12" s="755">
        <v>33.5</v>
      </c>
      <c r="AO12" s="756"/>
      <c r="AP12" s="745">
        <v>64.1</v>
      </c>
      <c r="AQ12" s="746"/>
      <c r="AR12" s="745">
        <v>57.6</v>
      </c>
      <c r="AS12" s="746"/>
      <c r="AT12" s="747">
        <v>59.8</v>
      </c>
      <c r="AU12" s="746"/>
      <c r="AV12" s="745">
        <v>60.3</v>
      </c>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2"/>
        <v>&gt; 25%</v>
      </c>
      <c r="CN12" s="82"/>
      <c r="CO12" s="82" t="str">
        <f t="shared" si="3"/>
        <v>ok</v>
      </c>
      <c r="CP12" s="82"/>
      <c r="CQ12" s="82" t="str">
        <f t="shared" si="4"/>
        <v>ok</v>
      </c>
      <c r="CR12" s="82"/>
      <c r="CS12" s="82" t="str">
        <f t="shared" si="5"/>
        <v>ok</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9"/>
      <c r="AQ13" s="525"/>
      <c r="AR13" s="539"/>
      <c r="AS13" s="525"/>
      <c r="AT13" s="539"/>
      <c r="AU13" s="525"/>
      <c r="AV13" s="539"/>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9"/>
      <c r="AQ14" s="525"/>
      <c r="AR14" s="539"/>
      <c r="AS14" s="525"/>
      <c r="AT14" s="539"/>
      <c r="AU14" s="525"/>
      <c r="AV14" s="539"/>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9"/>
      <c r="AQ15" s="525"/>
      <c r="AR15" s="539"/>
      <c r="AS15" s="525"/>
      <c r="AT15" s="539"/>
      <c r="AU15" s="525"/>
      <c r="AV15" s="539"/>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9"/>
      <c r="AQ16" s="525"/>
      <c r="AR16" s="539"/>
      <c r="AS16" s="525"/>
      <c r="AT16" s="539"/>
      <c r="AU16" s="525"/>
      <c r="AV16" s="539"/>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9"/>
      <c r="AQ17" s="525"/>
      <c r="AR17" s="539"/>
      <c r="AS17" s="525"/>
      <c r="AT17" s="539"/>
      <c r="AU17" s="525"/>
      <c r="AV17" s="539"/>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1"/>
      <c r="AQ18" s="526"/>
      <c r="AR18" s="541"/>
      <c r="AS18" s="526"/>
      <c r="AT18" s="541"/>
      <c r="AU18" s="526"/>
      <c r="AV18" s="541"/>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750">
        <v>34.9000015258789</v>
      </c>
      <c r="AG19" s="751"/>
      <c r="AH19" s="750">
        <v>34.7999992370605</v>
      </c>
      <c r="AI19" s="751"/>
      <c r="AJ19" s="750">
        <v>39.2000007629395</v>
      </c>
      <c r="AK19" s="751"/>
      <c r="AL19" s="750">
        <v>33.7000007629395</v>
      </c>
      <c r="AM19" s="751"/>
      <c r="AN19" s="750">
        <v>36.9000015258789</v>
      </c>
      <c r="AO19" s="751"/>
      <c r="AP19" s="752">
        <v>11.3</v>
      </c>
      <c r="AQ19" s="753"/>
      <c r="AR19" s="752">
        <v>18.5</v>
      </c>
      <c r="AS19" s="753"/>
      <c r="AT19" s="754">
        <v>18</v>
      </c>
      <c r="AU19" s="753"/>
      <c r="AV19" s="752">
        <v>16.8</v>
      </c>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ok</v>
      </c>
      <c r="CF19" s="82"/>
      <c r="CG19" s="82" t="str">
        <f t="shared" si="18"/>
        <v>ok</v>
      </c>
      <c r="CH19" s="82"/>
      <c r="CI19" s="82" t="str">
        <f t="shared" si="19"/>
        <v>ok</v>
      </c>
      <c r="CJ19" s="82"/>
      <c r="CK19" s="82" t="str">
        <f t="shared" si="20"/>
        <v>ok</v>
      </c>
      <c r="CL19" s="82"/>
      <c r="CM19" s="82" t="str">
        <f t="shared" si="2"/>
        <v>&gt; 25%</v>
      </c>
      <c r="CN19" s="82"/>
      <c r="CO19" s="82" t="str">
        <f t="shared" si="3"/>
        <v>&gt; 25%</v>
      </c>
      <c r="CP19" s="82"/>
      <c r="CQ19" s="82" t="str">
        <f t="shared" si="4"/>
        <v>ok</v>
      </c>
      <c r="CR19" s="82"/>
      <c r="CS19" s="82" t="str">
        <f t="shared" si="5"/>
        <v>ok</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44" t="s">
        <v>122</v>
      </c>
      <c r="E26" s="844"/>
      <c r="F26" s="844"/>
      <c r="G26" s="844"/>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40" t="s">
        <v>143</v>
      </c>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c r="AU27" s="840"/>
      <c r="AV27" s="840"/>
      <c r="AW27" s="840"/>
      <c r="AX27" s="840"/>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44" t="s">
        <v>625</v>
      </c>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844"/>
      <c r="AT28" s="844"/>
      <c r="AU28" s="844"/>
      <c r="AV28" s="844"/>
      <c r="AW28" s="844"/>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44" t="s">
        <v>251</v>
      </c>
      <c r="E29" s="844"/>
      <c r="F29" s="844"/>
      <c r="G29" s="844"/>
      <c r="H29" s="844"/>
      <c r="I29" s="844"/>
      <c r="J29" s="844"/>
      <c r="K29" s="844"/>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844"/>
      <c r="AS29" s="844"/>
      <c r="AT29" s="844"/>
      <c r="AU29" s="844"/>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76.8000030517578</v>
      </c>
      <c r="CD29" s="81"/>
      <c r="CE29" s="81">
        <f>SUM(AH12:AH16)+SUM(AH18:AH19)</f>
        <v>74.7000007629394</v>
      </c>
      <c r="CF29" s="81"/>
      <c r="CG29" s="81">
        <f>SUM(AJ12:AJ16)+SUM(AJ18:AJ19)</f>
        <v>72</v>
      </c>
      <c r="CH29" s="81"/>
      <c r="CI29" s="81">
        <f>SUM(AL12:AL16)+SUM(AL18:AL19)</f>
        <v>65.6000003814698</v>
      </c>
      <c r="CJ29" s="81"/>
      <c r="CK29" s="81">
        <f>SUM(AN12:AN16)+SUM(AN18:AN19)</f>
        <v>70.4000015258789</v>
      </c>
      <c r="CL29" s="81"/>
      <c r="CM29" s="81">
        <f>SUM(AP12:AP16)+SUM(AP18:AP19)</f>
        <v>75.39999999999999</v>
      </c>
      <c r="CN29" s="81"/>
      <c r="CO29" s="81">
        <f>SUM(AR12:AR16)+SUM(AR18:AR19)</f>
        <v>76.1</v>
      </c>
      <c r="CP29" s="81"/>
      <c r="CQ29" s="81">
        <f>SUM(AT12:AT16)+SUM(AT18:AT19)</f>
        <v>77.8</v>
      </c>
      <c r="CR29" s="81"/>
      <c r="CS29" s="81">
        <f>SUM(AV12:AV16)+SUM(AV18:AV19)</f>
        <v>77.1</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44" t="s">
        <v>110</v>
      </c>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4"/>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98" t="str">
        <f>D12&amp;" (W3,4)"</f>
        <v>Households (W3,4)</v>
      </c>
      <c r="V32" s="899"/>
      <c r="W32" s="899"/>
      <c r="X32" s="899"/>
      <c r="Y32" s="899"/>
      <c r="Z32" s="899"/>
      <c r="AA32" s="899"/>
      <c r="AB32" s="900"/>
      <c r="AC32" s="252"/>
      <c r="AD32" s="252"/>
      <c r="AE32" s="252"/>
      <c r="AF32" s="252"/>
      <c r="AG32" s="252"/>
      <c r="AH32" s="252"/>
      <c r="AI32" s="252"/>
      <c r="AJ32" s="252"/>
      <c r="AK32" s="252"/>
      <c r="AL32" s="845"/>
      <c r="AM32" s="845"/>
      <c r="AN32" s="845"/>
      <c r="AO32" s="845"/>
      <c r="AP32" s="845"/>
      <c r="AQ32" s="845"/>
      <c r="AR32" s="845"/>
      <c r="AS32" s="845"/>
      <c r="AT32" s="845"/>
      <c r="AU32" s="845"/>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907" t="str">
        <f>LEFT(D10,LEN(D10)-25)&amp;" (W3,3)"</f>
        <v>Net freshwater supplied by water supply industry (ISIC 36)   (W3,3)</v>
      </c>
      <c r="L33" s="908"/>
      <c r="M33" s="908"/>
      <c r="N33" s="909"/>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904" t="str">
        <f>D8&amp;" (W3, 1)"</f>
        <v>Gross freshwater supplied by water supply industry (ISIC 36) (W3, 1)</v>
      </c>
      <c r="E34" s="253"/>
      <c r="F34" s="558"/>
      <c r="G34" s="558"/>
      <c r="H34" s="558"/>
      <c r="I34" s="558"/>
      <c r="J34" s="558"/>
      <c r="K34" s="910"/>
      <c r="L34" s="911"/>
      <c r="M34" s="911"/>
      <c r="N34" s="912"/>
      <c r="O34" s="558"/>
      <c r="P34" s="921" t="s">
        <v>16</v>
      </c>
      <c r="Q34" s="921"/>
      <c r="R34" s="558"/>
      <c r="S34" s="558"/>
      <c r="T34" s="558"/>
      <c r="U34" s="898" t="str">
        <f>D13&amp;" (W3,5)"</f>
        <v>Agriculture, forestry and fishing (ISIC 01-03) (W3,5)</v>
      </c>
      <c r="V34" s="899"/>
      <c r="W34" s="899"/>
      <c r="X34" s="899"/>
      <c r="Y34" s="899"/>
      <c r="Z34" s="899"/>
      <c r="AA34" s="899"/>
      <c r="AB34" s="900"/>
      <c r="AC34" s="254"/>
      <c r="AD34" s="253"/>
      <c r="AE34" s="554"/>
      <c r="AF34" s="554"/>
      <c r="AG34" s="413"/>
      <c r="AH34" s="901"/>
      <c r="AI34" s="901"/>
      <c r="AJ34" s="252"/>
      <c r="AK34" s="252"/>
      <c r="AL34" s="845"/>
      <c r="AM34" s="845"/>
      <c r="AN34" s="845"/>
      <c r="AO34" s="845"/>
      <c r="AP34" s="845"/>
      <c r="AQ34" s="845"/>
      <c r="AR34" s="845"/>
      <c r="AS34" s="845"/>
      <c r="AT34" s="845"/>
      <c r="AU34" s="845"/>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905"/>
      <c r="E35" s="558"/>
      <c r="F35" s="558"/>
      <c r="G35" s="558"/>
      <c r="H35" s="558"/>
      <c r="I35" s="558"/>
      <c r="J35" s="558"/>
      <c r="K35" s="910"/>
      <c r="L35" s="911"/>
      <c r="M35" s="911"/>
      <c r="N35" s="912"/>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905"/>
      <c r="E36" s="558"/>
      <c r="F36" s="558"/>
      <c r="G36" s="558"/>
      <c r="H36" s="558"/>
      <c r="I36" s="558"/>
      <c r="J36" s="558"/>
      <c r="K36" s="910"/>
      <c r="L36" s="911"/>
      <c r="M36" s="911"/>
      <c r="N36" s="912"/>
      <c r="O36" s="558"/>
      <c r="P36" s="558"/>
      <c r="Q36" s="558"/>
      <c r="R36" s="558"/>
      <c r="S36" s="558"/>
      <c r="T36" s="558"/>
      <c r="U36" s="898" t="str">
        <f>D14&amp;" (W3,6)"</f>
        <v>Mining and quarrying (ISIC 05-09) (W3,6)</v>
      </c>
      <c r="V36" s="899"/>
      <c r="W36" s="899"/>
      <c r="X36" s="899"/>
      <c r="Y36" s="899"/>
      <c r="Z36" s="899"/>
      <c r="AA36" s="899"/>
      <c r="AB36" s="900"/>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905"/>
      <c r="E37" s="558"/>
      <c r="F37" s="558"/>
      <c r="G37" s="558"/>
      <c r="H37" s="558"/>
      <c r="I37" s="558"/>
      <c r="J37" s="558"/>
      <c r="K37" s="910"/>
      <c r="L37" s="911"/>
      <c r="M37" s="911"/>
      <c r="N37" s="912"/>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906"/>
      <c r="E38" s="558"/>
      <c r="F38" s="558"/>
      <c r="G38" s="558"/>
      <c r="H38" s="558"/>
      <c r="I38" s="558"/>
      <c r="J38" s="558"/>
      <c r="K38" s="913"/>
      <c r="L38" s="914"/>
      <c r="M38" s="914"/>
      <c r="N38" s="915"/>
      <c r="O38" s="558"/>
      <c r="P38" s="558"/>
      <c r="Q38" s="558"/>
      <c r="R38" s="558"/>
      <c r="S38" s="558"/>
      <c r="T38" s="558"/>
      <c r="U38" s="898" t="str">
        <f>D15&amp;" (W3,7)"</f>
        <v>Manufacturing (ISIC 10-33) (W3,7)</v>
      </c>
      <c r="V38" s="899"/>
      <c r="W38" s="899"/>
      <c r="X38" s="899"/>
      <c r="Y38" s="899"/>
      <c r="Z38" s="899"/>
      <c r="AA38" s="899"/>
      <c r="AB38" s="900"/>
      <c r="AC38" s="254"/>
      <c r="AD38" s="554"/>
      <c r="AE38" s="554"/>
      <c r="AF38" s="554"/>
      <c r="AG38" s="252"/>
      <c r="AH38" s="252"/>
      <c r="AI38" s="252"/>
      <c r="AJ38" s="252"/>
      <c r="AK38" s="252"/>
      <c r="AL38" s="845"/>
      <c r="AM38" s="845"/>
      <c r="AN38" s="845"/>
      <c r="AO38" s="845"/>
      <c r="AP38" s="845"/>
      <c r="AQ38" s="845"/>
      <c r="AR38" s="845"/>
      <c r="AS38" s="845"/>
      <c r="AT38" s="845"/>
      <c r="AU38" s="845"/>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98" t="str">
        <f>D16&amp;" (W3,8)"</f>
        <v>Electricity, gas, steam and air conditioning supply  (ISIC 35) (W3,8)</v>
      </c>
      <c r="V40" s="899"/>
      <c r="W40" s="899"/>
      <c r="X40" s="899"/>
      <c r="Y40" s="899"/>
      <c r="Z40" s="899"/>
      <c r="AA40" s="899"/>
      <c r="AB40" s="900"/>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98" t="str">
        <f>D18&amp;" (W3,10)"</f>
        <v>Construction (ISIC 41-43) (W3,10)</v>
      </c>
      <c r="V42" s="899"/>
      <c r="W42" s="899"/>
      <c r="X42" s="899"/>
      <c r="Y42" s="899"/>
      <c r="Z42" s="899"/>
      <c r="AA42" s="899"/>
      <c r="AB42" s="900"/>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907" t="str">
        <f>D9&amp;" (W3, 2)"</f>
        <v>Losses during transport by ISIC 36 (W3, 2)</v>
      </c>
      <c r="F43" s="916"/>
      <c r="G43" s="916"/>
      <c r="H43" s="917"/>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918"/>
      <c r="F44" s="919"/>
      <c r="G44" s="919"/>
      <c r="H44" s="920"/>
      <c r="I44" s="255"/>
      <c r="J44" s="255"/>
      <c r="K44" s="255"/>
      <c r="L44" s="255"/>
      <c r="M44" s="255"/>
      <c r="N44" s="255"/>
      <c r="O44" s="255"/>
      <c r="P44" s="255"/>
      <c r="Q44" s="255"/>
      <c r="R44" s="255"/>
      <c r="S44" s="255"/>
      <c r="T44" s="255"/>
      <c r="U44" s="898" t="str">
        <f>D19&amp;" (W3,11)"</f>
        <v>Other economic activities (W3,11)</v>
      </c>
      <c r="V44" s="899"/>
      <c r="W44" s="899"/>
      <c r="X44" s="899"/>
      <c r="Y44" s="899"/>
      <c r="Z44" s="899"/>
      <c r="AA44" s="899"/>
      <c r="AB44" s="900"/>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7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3:52" ht="18" customHeight="1">
      <c r="C49" s="484"/>
      <c r="D49" s="841"/>
      <c r="E49" s="842"/>
      <c r="F49" s="842"/>
      <c r="G49" s="842"/>
      <c r="H49" s="842"/>
      <c r="I49" s="842"/>
      <c r="J49" s="842"/>
      <c r="K49" s="842"/>
      <c r="L49" s="842"/>
      <c r="M49" s="842"/>
      <c r="N49" s="842"/>
      <c r="O49" s="842"/>
      <c r="P49" s="842"/>
      <c r="Q49" s="842"/>
      <c r="R49" s="842"/>
      <c r="S49" s="842"/>
      <c r="T49" s="842"/>
      <c r="U49" s="842"/>
      <c r="V49" s="842"/>
      <c r="W49" s="842"/>
      <c r="X49" s="842"/>
      <c r="Y49" s="842"/>
      <c r="Z49" s="842"/>
      <c r="AA49" s="842"/>
      <c r="AB49" s="842"/>
      <c r="AC49" s="842"/>
      <c r="AD49" s="842"/>
      <c r="AE49" s="842"/>
      <c r="AF49" s="842"/>
      <c r="AG49" s="842"/>
      <c r="AH49" s="842"/>
      <c r="AI49" s="842"/>
      <c r="AJ49" s="842"/>
      <c r="AK49" s="842"/>
      <c r="AL49" s="842"/>
      <c r="AM49" s="842"/>
      <c r="AN49" s="842"/>
      <c r="AO49" s="842"/>
      <c r="AP49" s="842"/>
      <c r="AQ49" s="842"/>
      <c r="AR49" s="842"/>
      <c r="AS49" s="842"/>
      <c r="AT49" s="842"/>
      <c r="AU49" s="842"/>
      <c r="AV49" s="842"/>
      <c r="AW49" s="842"/>
      <c r="AX49" s="843"/>
      <c r="AY49" s="421"/>
      <c r="AZ49" s="418"/>
    </row>
    <row r="50" spans="3:52" ht="18" customHeight="1">
      <c r="C50" s="484"/>
      <c r="D50" s="853"/>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c r="AN50" s="854"/>
      <c r="AO50" s="854"/>
      <c r="AP50" s="854"/>
      <c r="AQ50" s="854"/>
      <c r="AR50" s="854"/>
      <c r="AS50" s="854"/>
      <c r="AT50" s="854"/>
      <c r="AU50" s="854"/>
      <c r="AV50" s="854"/>
      <c r="AW50" s="854"/>
      <c r="AX50" s="855"/>
      <c r="AY50" s="421"/>
      <c r="AZ50" s="418"/>
    </row>
    <row r="51" spans="3:52" ht="18" customHeight="1">
      <c r="C51" s="484"/>
      <c r="D51" s="853"/>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c r="AW51" s="854"/>
      <c r="AX51" s="855"/>
      <c r="AY51" s="421"/>
      <c r="AZ51" s="418"/>
    </row>
    <row r="52" spans="3:52" ht="18" customHeight="1">
      <c r="C52" s="484"/>
      <c r="D52" s="853"/>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5"/>
      <c r="AY52" s="421"/>
      <c r="AZ52" s="418"/>
    </row>
    <row r="53" spans="3:52" ht="18" customHeight="1">
      <c r="C53" s="484"/>
      <c r="D53" s="853"/>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5"/>
      <c r="AY53" s="421"/>
      <c r="AZ53" s="418"/>
    </row>
    <row r="54" spans="3:52" ht="18" customHeight="1">
      <c r="C54" s="484"/>
      <c r="D54" s="853"/>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5"/>
      <c r="AY54" s="421"/>
      <c r="AZ54" s="418"/>
    </row>
    <row r="55" spans="3:52" ht="18" customHeight="1">
      <c r="C55" s="484"/>
      <c r="D55" s="853"/>
      <c r="E55" s="854"/>
      <c r="F55" s="854"/>
      <c r="G55" s="854"/>
      <c r="H55" s="854"/>
      <c r="I55" s="854"/>
      <c r="J55" s="854"/>
      <c r="K55" s="854"/>
      <c r="L55" s="854"/>
      <c r="M55" s="854"/>
      <c r="N55" s="854"/>
      <c r="O55" s="854"/>
      <c r="P55" s="854"/>
      <c r="Q55" s="854"/>
      <c r="R55" s="854"/>
      <c r="S55" s="854"/>
      <c r="T55" s="854"/>
      <c r="U55" s="854"/>
      <c r="V55" s="854"/>
      <c r="W55" s="854"/>
      <c r="X55" s="854"/>
      <c r="Y55" s="854"/>
      <c r="Z55" s="854"/>
      <c r="AA55" s="854"/>
      <c r="AB55" s="854"/>
      <c r="AC55" s="854"/>
      <c r="AD55" s="854"/>
      <c r="AE55" s="854"/>
      <c r="AF55" s="854"/>
      <c r="AG55" s="854"/>
      <c r="AH55" s="854"/>
      <c r="AI55" s="854"/>
      <c r="AJ55" s="854"/>
      <c r="AK55" s="854"/>
      <c r="AL55" s="854"/>
      <c r="AM55" s="854"/>
      <c r="AN55" s="854"/>
      <c r="AO55" s="854"/>
      <c r="AP55" s="854"/>
      <c r="AQ55" s="854"/>
      <c r="AR55" s="854"/>
      <c r="AS55" s="854"/>
      <c r="AT55" s="854"/>
      <c r="AU55" s="854"/>
      <c r="AV55" s="854"/>
      <c r="AW55" s="854"/>
      <c r="AX55" s="855"/>
      <c r="AY55" s="421"/>
      <c r="AZ55" s="418"/>
    </row>
    <row r="56" spans="3:97" ht="18" customHeight="1">
      <c r="C56" s="484"/>
      <c r="D56" s="853"/>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5"/>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53"/>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854"/>
      <c r="AT57" s="854"/>
      <c r="AU57" s="854"/>
      <c r="AV57" s="854"/>
      <c r="AW57" s="854"/>
      <c r="AX57" s="855"/>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53"/>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4"/>
      <c r="AX58" s="855"/>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53"/>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5"/>
      <c r="AY59" s="421"/>
      <c r="CT59" s="382"/>
    </row>
    <row r="60" spans="3:51" ht="18" customHeight="1">
      <c r="C60" s="484"/>
      <c r="D60" s="853"/>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5"/>
      <c r="AY60" s="421"/>
    </row>
    <row r="61" spans="3:51" ht="18" customHeight="1">
      <c r="C61" s="484"/>
      <c r="D61" s="853"/>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c r="AT61" s="854"/>
      <c r="AU61" s="854"/>
      <c r="AV61" s="854"/>
      <c r="AW61" s="854"/>
      <c r="AX61" s="855"/>
      <c r="AY61" s="421"/>
    </row>
    <row r="62" spans="3:51" ht="18" customHeight="1">
      <c r="C62" s="484"/>
      <c r="D62" s="853"/>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5"/>
      <c r="AY62" s="421"/>
    </row>
    <row r="63" spans="3:51" ht="18" customHeight="1">
      <c r="C63" s="484"/>
      <c r="D63" s="853"/>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5"/>
      <c r="AY63" s="421"/>
    </row>
    <row r="64" spans="3:51" ht="18" customHeight="1">
      <c r="C64" s="484"/>
      <c r="D64" s="853"/>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5"/>
      <c r="AY64" s="421"/>
    </row>
    <row r="65" spans="3:51" ht="18" customHeight="1">
      <c r="C65" s="484"/>
      <c r="D65" s="853"/>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c r="AT65" s="854"/>
      <c r="AU65" s="854"/>
      <c r="AV65" s="854"/>
      <c r="AW65" s="854"/>
      <c r="AX65" s="855"/>
      <c r="AY65" s="421"/>
    </row>
    <row r="66" spans="3:51" ht="18" customHeight="1">
      <c r="C66" s="484"/>
      <c r="D66" s="853"/>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5"/>
      <c r="AY66" s="421"/>
    </row>
    <row r="67" spans="3:51" ht="18" customHeight="1">
      <c r="C67" s="484"/>
      <c r="D67" s="853"/>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5"/>
      <c r="AY67" s="421"/>
    </row>
    <row r="68" spans="3:51" ht="18" customHeight="1">
      <c r="C68" s="484"/>
      <c r="D68" s="853"/>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5"/>
      <c r="AY68" s="421"/>
    </row>
    <row r="69" spans="3:51" ht="18" customHeight="1">
      <c r="C69" s="521"/>
      <c r="D69" s="853"/>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5"/>
      <c r="AY69" s="421"/>
    </row>
    <row r="70" spans="3:51" ht="18" customHeight="1">
      <c r="C70" s="519"/>
      <c r="D70" s="863"/>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5"/>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sheet="1"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D3" sqref="D3"/>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496</v>
      </c>
      <c r="C3" s="299" t="s">
        <v>296</v>
      </c>
      <c r="D3" s="29" t="s">
        <v>414</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70" t="s">
        <v>207</v>
      </c>
      <c r="D5" s="870"/>
      <c r="E5" s="903"/>
      <c r="F5" s="903"/>
      <c r="G5" s="903"/>
      <c r="H5" s="903"/>
      <c r="I5" s="872"/>
      <c r="J5" s="872"/>
      <c r="K5" s="872"/>
      <c r="L5" s="872"/>
      <c r="M5" s="872"/>
      <c r="N5" s="872"/>
      <c r="O5" s="872"/>
      <c r="P5" s="872"/>
      <c r="Q5" s="872"/>
      <c r="R5" s="872"/>
      <c r="S5" s="872"/>
      <c r="T5" s="872"/>
      <c r="U5" s="872"/>
      <c r="V5" s="872"/>
      <c r="W5" s="872"/>
      <c r="X5" s="903"/>
      <c r="Y5" s="872"/>
      <c r="Z5" s="903"/>
      <c r="AA5" s="872"/>
      <c r="AB5" s="903"/>
      <c r="AC5" s="872"/>
      <c r="AD5" s="903"/>
      <c r="AE5" s="872"/>
      <c r="AF5" s="903"/>
      <c r="AG5" s="872"/>
      <c r="AH5" s="903"/>
      <c r="AI5" s="872"/>
      <c r="AJ5" s="872"/>
      <c r="AK5" s="872"/>
      <c r="AL5" s="903"/>
      <c r="AM5" s="872"/>
      <c r="AN5" s="903"/>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758">
        <v>134.399993896484</v>
      </c>
      <c r="AG15" s="759"/>
      <c r="AH15" s="758">
        <v>136.100006103516</v>
      </c>
      <c r="AI15" s="759"/>
      <c r="AJ15" s="758">
        <v>150.5</v>
      </c>
      <c r="AK15" s="759"/>
      <c r="AL15" s="758">
        <v>152.699996948242</v>
      </c>
      <c r="AM15" s="759"/>
      <c r="AN15" s="758">
        <v>180.600006103516</v>
      </c>
      <c r="AO15" s="759"/>
      <c r="AP15" s="758">
        <v>150.8</v>
      </c>
      <c r="AQ15" s="759"/>
      <c r="AR15" s="758">
        <v>128.8</v>
      </c>
      <c r="AS15" s="759"/>
      <c r="AT15" s="758">
        <v>129.3</v>
      </c>
      <c r="AU15" s="759"/>
      <c r="AV15" s="758">
        <v>133.2</v>
      </c>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ok</v>
      </c>
      <c r="CF15" s="81"/>
      <c r="CG15" s="96" t="str">
        <f t="shared" si="12"/>
        <v>ok</v>
      </c>
      <c r="CH15" s="114"/>
      <c r="CI15" s="96" t="str">
        <f t="shared" si="13"/>
        <v>ok</v>
      </c>
      <c r="CJ15" s="81"/>
      <c r="CK15" s="96" t="str">
        <f t="shared" si="14"/>
        <v>ok</v>
      </c>
      <c r="CL15" s="114"/>
      <c r="CM15" s="96" t="str">
        <f t="shared" si="15"/>
        <v>ok</v>
      </c>
      <c r="CN15" s="81"/>
      <c r="CO15" s="96" t="str">
        <f t="shared" si="16"/>
        <v>ok</v>
      </c>
      <c r="CP15" s="81"/>
      <c r="CQ15" s="96" t="str">
        <f t="shared" si="17"/>
        <v>ok</v>
      </c>
      <c r="CR15" s="81"/>
      <c r="CS15" s="96" t="str">
        <f t="shared" si="18"/>
        <v>ok</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758">
        <v>94.9000015258789</v>
      </c>
      <c r="AG16" s="759"/>
      <c r="AH16" s="758">
        <v>95.4000015258789</v>
      </c>
      <c r="AI16" s="759"/>
      <c r="AJ16" s="758">
        <v>89.9000015258789</v>
      </c>
      <c r="AK16" s="759"/>
      <c r="AL16" s="758">
        <v>87.3000030517578</v>
      </c>
      <c r="AM16" s="759"/>
      <c r="AN16" s="758">
        <v>91.6999969482422</v>
      </c>
      <c r="AO16" s="759"/>
      <c r="AP16" s="758">
        <v>82.7</v>
      </c>
      <c r="AQ16" s="759"/>
      <c r="AR16" s="758">
        <v>68.5</v>
      </c>
      <c r="AS16" s="759"/>
      <c r="AT16" s="758">
        <v>71.5</v>
      </c>
      <c r="AU16" s="759"/>
      <c r="AV16" s="758">
        <v>71.5</v>
      </c>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ok</v>
      </c>
      <c r="CF16" s="112"/>
      <c r="CG16" s="96" t="str">
        <f t="shared" si="12"/>
        <v>ok</v>
      </c>
      <c r="CH16" s="81"/>
      <c r="CI16" s="96" t="str">
        <f t="shared" si="13"/>
        <v>ok</v>
      </c>
      <c r="CJ16" s="113"/>
      <c r="CK16" s="96" t="str">
        <f t="shared" si="14"/>
        <v>ok</v>
      </c>
      <c r="CL16" s="81"/>
      <c r="CM16" s="96" t="str">
        <f t="shared" si="15"/>
        <v>ok</v>
      </c>
      <c r="CN16" s="113"/>
      <c r="CO16" s="96" t="str">
        <f t="shared" si="16"/>
        <v>ok</v>
      </c>
      <c r="CP16" s="113"/>
      <c r="CQ16" s="96" t="str">
        <f t="shared" si="17"/>
        <v>ok</v>
      </c>
      <c r="CR16" s="113"/>
      <c r="CS16" s="96" t="str">
        <f t="shared" si="18"/>
        <v>ok</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739"/>
      <c r="AG17" s="740"/>
      <c r="AH17" s="739"/>
      <c r="AI17" s="740"/>
      <c r="AJ17" s="739"/>
      <c r="AK17" s="740"/>
      <c r="AL17" s="739"/>
      <c r="AM17" s="740"/>
      <c r="AN17" s="739"/>
      <c r="AO17" s="740"/>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739">
        <v>14.6999998092651</v>
      </c>
      <c r="AG18" s="740"/>
      <c r="AH18" s="739">
        <v>14.8999996185303</v>
      </c>
      <c r="AI18" s="740"/>
      <c r="AJ18" s="739">
        <v>15.1999998092651</v>
      </c>
      <c r="AK18" s="740"/>
      <c r="AL18" s="739">
        <v>14.3999996185303</v>
      </c>
      <c r="AM18" s="740"/>
      <c r="AN18" s="739">
        <v>16.7000007629395</v>
      </c>
      <c r="AO18" s="740"/>
      <c r="AP18" s="757">
        <v>14.01</v>
      </c>
      <c r="AQ18" s="740"/>
      <c r="AR18" s="739">
        <v>12.035300000000001</v>
      </c>
      <c r="AS18" s="740"/>
      <c r="AT18" s="739">
        <v>12.650400000000001</v>
      </c>
      <c r="AU18" s="740"/>
      <c r="AV18" s="739">
        <v>13.1008</v>
      </c>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ok</v>
      </c>
      <c r="CF18" s="112"/>
      <c r="CG18" s="96" t="str">
        <f t="shared" si="12"/>
        <v>ok</v>
      </c>
      <c r="CH18" s="81"/>
      <c r="CI18" s="96" t="str">
        <f t="shared" si="13"/>
        <v>ok</v>
      </c>
      <c r="CJ18" s="113"/>
      <c r="CK18" s="96" t="str">
        <f t="shared" si="14"/>
        <v>ok</v>
      </c>
      <c r="CL18" s="81"/>
      <c r="CM18" s="96" t="str">
        <f t="shared" si="15"/>
        <v>ok</v>
      </c>
      <c r="CN18" s="113"/>
      <c r="CO18" s="96" t="str">
        <f t="shared" si="16"/>
        <v>ok</v>
      </c>
      <c r="CP18" s="113"/>
      <c r="CQ18" s="96" t="str">
        <f t="shared" si="17"/>
        <v>ok</v>
      </c>
      <c r="CR18" s="113"/>
      <c r="CS18" s="96" t="str">
        <f t="shared" si="18"/>
        <v>ok</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739">
        <v>214.600006103516</v>
      </c>
      <c r="AG19" s="740"/>
      <c r="AH19" s="739">
        <v>216.600006103516</v>
      </c>
      <c r="AI19" s="740"/>
      <c r="AJ19" s="739">
        <v>225.199996948242</v>
      </c>
      <c r="AK19" s="740"/>
      <c r="AL19" s="739">
        <v>225.600006103516</v>
      </c>
      <c r="AM19" s="740"/>
      <c r="AN19" s="739">
        <v>255.600006103516</v>
      </c>
      <c r="AO19" s="740"/>
      <c r="AP19" s="757">
        <v>219.48999999999998</v>
      </c>
      <c r="AQ19" s="740"/>
      <c r="AR19" s="739">
        <v>185.26470000000003</v>
      </c>
      <c r="AS19" s="740"/>
      <c r="AT19" s="739">
        <v>188.14960000000002</v>
      </c>
      <c r="AU19" s="740"/>
      <c r="AV19" s="739">
        <v>191.59919999999997</v>
      </c>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ok</v>
      </c>
      <c r="CF19" s="112"/>
      <c r="CG19" s="96" t="str">
        <f t="shared" si="12"/>
        <v>ok</v>
      </c>
      <c r="CH19" s="81"/>
      <c r="CI19" s="96" t="str">
        <f t="shared" si="13"/>
        <v>ok</v>
      </c>
      <c r="CJ19" s="113"/>
      <c r="CK19" s="96" t="str">
        <f t="shared" si="14"/>
        <v>ok</v>
      </c>
      <c r="CL19" s="81"/>
      <c r="CM19" s="96" t="str">
        <f t="shared" si="15"/>
        <v>ok</v>
      </c>
      <c r="CN19" s="113"/>
      <c r="CO19" s="96" t="str">
        <f t="shared" si="16"/>
        <v>ok</v>
      </c>
      <c r="CP19" s="113"/>
      <c r="CQ19" s="96" t="str">
        <f t="shared" si="17"/>
        <v>ok</v>
      </c>
      <c r="CR19" s="113"/>
      <c r="CS19" s="96" t="str">
        <f t="shared" si="18"/>
        <v>ok</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44" t="s">
        <v>254</v>
      </c>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4"/>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40" t="s">
        <v>143</v>
      </c>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0"/>
      <c r="AQ31" s="840"/>
      <c r="AR31" s="840"/>
      <c r="AS31" s="840"/>
      <c r="AT31" s="840"/>
      <c r="AU31" s="840"/>
      <c r="AV31" s="840"/>
      <c r="AW31" s="840"/>
      <c r="AX31" s="840"/>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44" t="s">
        <v>110</v>
      </c>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c r="AL32" s="844"/>
      <c r="AM32" s="844"/>
      <c r="AN32" s="844"/>
      <c r="AO32" s="844"/>
      <c r="AP32" s="844"/>
      <c r="AQ32" s="844"/>
      <c r="AR32" s="844"/>
      <c r="AS32" s="844"/>
      <c r="AT32" s="844"/>
      <c r="AU32" s="844"/>
      <c r="AV32" s="844"/>
      <c r="AW32" s="844"/>
      <c r="AX32" s="844"/>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229.2999954223629</v>
      </c>
      <c r="CD32" s="81"/>
      <c r="CE32" s="81">
        <f>SUM(AH9:AH12)+SUM(AH14:AH16)</f>
        <v>231.5000076293949</v>
      </c>
      <c r="CF32" s="81"/>
      <c r="CG32" s="81">
        <f>SUM(AJ9:AJ12)+SUM(AJ14:AJ16)</f>
        <v>240.4000015258789</v>
      </c>
      <c r="CH32" s="81"/>
      <c r="CI32" s="81">
        <f>SUM(AL9:AL12)+SUM(AL14:AL16)</f>
        <v>239.99999999999977</v>
      </c>
      <c r="CJ32" s="81"/>
      <c r="CK32" s="81">
        <f>SUM(AN9:AN12)+SUM(AN14:AN16)</f>
        <v>272.3000030517582</v>
      </c>
      <c r="CL32" s="81"/>
      <c r="CM32" s="81">
        <f>SUM(AP9:AP12)+SUM(AP14:AP16)</f>
        <v>233.5</v>
      </c>
      <c r="CN32" s="81"/>
      <c r="CO32" s="81">
        <f>SUM(AR9:AR12)+SUM(AR14:AR16)</f>
        <v>197.3</v>
      </c>
      <c r="CP32" s="81"/>
      <c r="CQ32" s="81">
        <f>SUM(AT9:AT12)+SUM(AT14:AT16)</f>
        <v>200.8</v>
      </c>
      <c r="CR32" s="81"/>
      <c r="CS32" s="81">
        <f>SUM(AV9:AV12)+SUM(AV14:AV16)</f>
        <v>204.7</v>
      </c>
      <c r="CT32" s="81"/>
      <c r="CU32" s="250"/>
      <c r="CV32" s="250"/>
    </row>
    <row r="33" spans="1:98" ht="13.5" customHeight="1">
      <c r="A33" s="247"/>
      <c r="B33" s="247"/>
      <c r="C33" s="245"/>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26" t="str">
        <f>D17&amp;" (W4,10)"</f>
        <v>Wastewater treated in urban wastewater treatment plants (W4,10)</v>
      </c>
      <c r="V34" s="927"/>
      <c r="W34" s="927"/>
      <c r="X34" s="927"/>
      <c r="Y34" s="927"/>
      <c r="Z34" s="927"/>
      <c r="AA34" s="927"/>
      <c r="AB34" s="928"/>
      <c r="AC34" s="248"/>
      <c r="AD34" s="248"/>
      <c r="AE34" s="248"/>
      <c r="AF34" s="248"/>
      <c r="AG34" s="248"/>
      <c r="AH34" s="248"/>
      <c r="AI34" s="253"/>
      <c r="AJ34" s="448"/>
      <c r="AK34" s="448"/>
      <c r="AL34" s="448"/>
      <c r="AM34" s="845"/>
      <c r="AN34" s="845"/>
      <c r="AO34" s="845"/>
      <c r="AP34" s="845"/>
      <c r="AQ34" s="845"/>
      <c r="AR34" s="845"/>
      <c r="AS34" s="845"/>
      <c r="AT34" s="845"/>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22" t="str">
        <f>D8&amp;" (W4,1)"</f>
        <v>Total wastewater generated (W4,1)</v>
      </c>
      <c r="K38" s="916"/>
      <c r="L38" s="916"/>
      <c r="M38" s="916"/>
      <c r="N38" s="917"/>
      <c r="O38" s="248"/>
      <c r="P38" s="248"/>
      <c r="Q38" s="248"/>
      <c r="R38" s="248"/>
      <c r="S38" s="248"/>
      <c r="T38" s="248"/>
      <c r="U38" s="926" t="str">
        <f>D21&amp;" (W4,14)"</f>
        <v>Wastewater treated in other treatment plants (W4,14)</v>
      </c>
      <c r="V38" s="927"/>
      <c r="W38" s="927"/>
      <c r="X38" s="927"/>
      <c r="Y38" s="927"/>
      <c r="Z38" s="927"/>
      <c r="AA38" s="927"/>
      <c r="AB38" s="928"/>
      <c r="AC38" s="559"/>
      <c r="AD38" s="559"/>
      <c r="AE38" s="559"/>
      <c r="AF38" s="559"/>
      <c r="AG38" s="559"/>
      <c r="AH38" s="248"/>
      <c r="AI38" s="451"/>
      <c r="AJ38" s="451"/>
      <c r="AK38" s="451"/>
      <c r="AL38" s="451"/>
      <c r="AM38" s="845"/>
      <c r="AN38" s="845"/>
      <c r="AO38" s="845"/>
      <c r="AP38" s="845"/>
      <c r="AQ38" s="845"/>
      <c r="AR38" s="845"/>
      <c r="AS38" s="845"/>
      <c r="AT38" s="845"/>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23"/>
      <c r="K39" s="924"/>
      <c r="L39" s="924"/>
      <c r="M39" s="924"/>
      <c r="N39" s="925"/>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23"/>
      <c r="K40" s="924"/>
      <c r="L40" s="924"/>
      <c r="M40" s="924"/>
      <c r="N40" s="925"/>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45"/>
      <c r="AN40" s="845"/>
      <c r="AO40" s="845"/>
      <c r="AP40" s="845"/>
      <c r="AQ40" s="845"/>
      <c r="AR40" s="845"/>
      <c r="AS40" s="845"/>
      <c r="AT40" s="845"/>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229.3000059127811</v>
      </c>
      <c r="CD40" s="81"/>
      <c r="CE40" s="81">
        <f>SUM(AH18:AH20)</f>
        <v>231.5000057220463</v>
      </c>
      <c r="CF40" s="81"/>
      <c r="CG40" s="81">
        <f>SUM(AJ18:AJ20)</f>
        <v>240.3999967575071</v>
      </c>
      <c r="CH40" s="81"/>
      <c r="CI40" s="81">
        <f>SUM(AL18:AL20)</f>
        <v>240.0000057220463</v>
      </c>
      <c r="CJ40" s="81"/>
      <c r="CK40" s="81">
        <f>SUM(AN18:AN20)</f>
        <v>272.3000068664555</v>
      </c>
      <c r="CL40" s="81"/>
      <c r="CM40" s="81">
        <f>SUM(AP18:AP20)</f>
        <v>233.49999999999997</v>
      </c>
      <c r="CN40" s="81"/>
      <c r="CO40" s="81">
        <f>SUM(AR18:AR20)</f>
        <v>197.30000000000004</v>
      </c>
      <c r="CP40" s="81"/>
      <c r="CQ40" s="81">
        <f>SUM(AT18:AT20)</f>
        <v>200.8</v>
      </c>
      <c r="CR40" s="81"/>
      <c r="CS40" s="81">
        <f>SUM(AV18:AV20)</f>
        <v>204.69999999999996</v>
      </c>
      <c r="CT40" s="81"/>
      <c r="CU40" s="250"/>
      <c r="CV40" s="250"/>
      <c r="CW40" s="250"/>
      <c r="CX40" s="250"/>
      <c r="CY40" s="250"/>
      <c r="CZ40" s="250"/>
      <c r="DA40" s="250"/>
      <c r="DB40" s="250"/>
    </row>
    <row r="41" spans="1:106" ht="11.25" customHeight="1">
      <c r="A41" s="247"/>
      <c r="B41" s="247"/>
      <c r="C41" s="245"/>
      <c r="D41" s="253"/>
      <c r="E41" s="248"/>
      <c r="F41" s="248"/>
      <c r="G41" s="248"/>
      <c r="H41" s="248"/>
      <c r="I41" s="248"/>
      <c r="J41" s="918"/>
      <c r="K41" s="919"/>
      <c r="L41" s="919"/>
      <c r="M41" s="919"/>
      <c r="N41" s="920"/>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26" t="str">
        <f>D25&amp;" (W4,18)"</f>
        <v>Wastewater treated in independent treatment facilities (W4,18)</v>
      </c>
      <c r="V42" s="927"/>
      <c r="W42" s="927"/>
      <c r="X42" s="927"/>
      <c r="Y42" s="927"/>
      <c r="Z42" s="927"/>
      <c r="AA42" s="927"/>
      <c r="AB42" s="928"/>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45"/>
      <c r="AN44" s="845"/>
      <c r="AO44" s="845"/>
      <c r="AP44" s="845"/>
      <c r="AQ44" s="845"/>
      <c r="AR44" s="845"/>
      <c r="AS44" s="845"/>
      <c r="AT44" s="845"/>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26" t="str">
        <f>D26&amp;" (W4,19)"</f>
        <v>Non-treated wastewater (W4,19)</v>
      </c>
      <c r="V46" s="927"/>
      <c r="W46" s="927"/>
      <c r="X46" s="927"/>
      <c r="Y46" s="927"/>
      <c r="Z46" s="927"/>
      <c r="AA46" s="927"/>
      <c r="AB46" s="928"/>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c r="D51" s="841"/>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c r="AH51" s="842"/>
      <c r="AI51" s="842"/>
      <c r="AJ51" s="842"/>
      <c r="AK51" s="842"/>
      <c r="AL51" s="842"/>
      <c r="AM51" s="842"/>
      <c r="AN51" s="842"/>
      <c r="AO51" s="842"/>
      <c r="AP51" s="842"/>
      <c r="AQ51" s="842"/>
      <c r="AR51" s="842"/>
      <c r="AS51" s="842"/>
      <c r="AT51" s="842"/>
      <c r="AU51" s="842"/>
      <c r="AV51" s="842"/>
      <c r="AW51" s="842"/>
      <c r="AX51" s="843"/>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53"/>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5"/>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53"/>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5"/>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53"/>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5"/>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53"/>
      <c r="E55" s="854"/>
      <c r="F55" s="854"/>
      <c r="G55" s="854"/>
      <c r="H55" s="854"/>
      <c r="I55" s="854"/>
      <c r="J55" s="854"/>
      <c r="K55" s="854"/>
      <c r="L55" s="854"/>
      <c r="M55" s="854"/>
      <c r="N55" s="854"/>
      <c r="O55" s="854"/>
      <c r="P55" s="854"/>
      <c r="Q55" s="854"/>
      <c r="R55" s="854"/>
      <c r="S55" s="854"/>
      <c r="T55" s="854"/>
      <c r="U55" s="854"/>
      <c r="V55" s="854"/>
      <c r="W55" s="854"/>
      <c r="X55" s="854"/>
      <c r="Y55" s="854"/>
      <c r="Z55" s="854"/>
      <c r="AA55" s="854"/>
      <c r="AB55" s="854"/>
      <c r="AC55" s="854"/>
      <c r="AD55" s="854"/>
      <c r="AE55" s="854"/>
      <c r="AF55" s="854"/>
      <c r="AG55" s="854"/>
      <c r="AH55" s="854"/>
      <c r="AI55" s="854"/>
      <c r="AJ55" s="854"/>
      <c r="AK55" s="854"/>
      <c r="AL55" s="854"/>
      <c r="AM55" s="854"/>
      <c r="AN55" s="854"/>
      <c r="AO55" s="854"/>
      <c r="AP55" s="854"/>
      <c r="AQ55" s="854"/>
      <c r="AR55" s="854"/>
      <c r="AS55" s="854"/>
      <c r="AT55" s="854"/>
      <c r="AU55" s="854"/>
      <c r="AV55" s="854"/>
      <c r="AW55" s="854"/>
      <c r="AX55" s="855"/>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53"/>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5"/>
    </row>
    <row r="57" spans="3:50" ht="18" customHeight="1">
      <c r="C57" s="484"/>
      <c r="D57" s="853"/>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854"/>
      <c r="AT57" s="854"/>
      <c r="AU57" s="854"/>
      <c r="AV57" s="854"/>
      <c r="AW57" s="854"/>
      <c r="AX57" s="855"/>
    </row>
    <row r="58" spans="3:50" ht="18" customHeight="1">
      <c r="C58" s="484"/>
      <c r="D58" s="853"/>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4"/>
      <c r="AX58" s="855"/>
    </row>
    <row r="59" spans="3:50" ht="18" customHeight="1">
      <c r="C59" s="484"/>
      <c r="D59" s="841"/>
      <c r="E59" s="842"/>
      <c r="F59" s="842"/>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3"/>
    </row>
    <row r="60" spans="3:50" ht="18" customHeight="1">
      <c r="C60" s="484"/>
      <c r="D60" s="853"/>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5"/>
    </row>
    <row r="61" spans="3:50" ht="18" customHeight="1">
      <c r="C61" s="484"/>
      <c r="D61" s="853"/>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c r="AT61" s="854"/>
      <c r="AU61" s="854"/>
      <c r="AV61" s="854"/>
      <c r="AW61" s="854"/>
      <c r="AX61" s="855"/>
    </row>
    <row r="62" spans="3:50" ht="18" customHeight="1">
      <c r="C62" s="484"/>
      <c r="D62" s="853"/>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5"/>
    </row>
    <row r="63" spans="3:50" ht="18" customHeight="1">
      <c r="C63" s="484"/>
      <c r="D63" s="853"/>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5"/>
    </row>
    <row r="64" spans="3:50" ht="18" customHeight="1">
      <c r="C64" s="484"/>
      <c r="D64" s="853"/>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5"/>
    </row>
    <row r="65" spans="3:50" ht="18" customHeight="1">
      <c r="C65" s="484"/>
      <c r="D65" s="853"/>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c r="AT65" s="854"/>
      <c r="AU65" s="854"/>
      <c r="AV65" s="854"/>
      <c r="AW65" s="854"/>
      <c r="AX65" s="855"/>
    </row>
    <row r="66" spans="3:50" ht="18" customHeight="1">
      <c r="C66" s="484"/>
      <c r="D66" s="853"/>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5"/>
    </row>
    <row r="67" spans="3:50" ht="18" customHeight="1">
      <c r="C67" s="484"/>
      <c r="D67" s="841"/>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842"/>
      <c r="AL67" s="842"/>
      <c r="AM67" s="842"/>
      <c r="AN67" s="842"/>
      <c r="AO67" s="842"/>
      <c r="AP67" s="842"/>
      <c r="AQ67" s="842"/>
      <c r="AR67" s="842"/>
      <c r="AS67" s="842"/>
      <c r="AT67" s="842"/>
      <c r="AU67" s="842"/>
      <c r="AV67" s="842"/>
      <c r="AW67" s="842"/>
      <c r="AX67" s="843"/>
    </row>
    <row r="68" spans="3:50" ht="18" customHeight="1">
      <c r="C68" s="484"/>
      <c r="D68" s="853"/>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5"/>
    </row>
    <row r="69" spans="3:50" ht="18" customHeight="1">
      <c r="C69" s="484"/>
      <c r="D69" s="853"/>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5"/>
    </row>
    <row r="70" spans="3:50" ht="18" customHeight="1">
      <c r="C70" s="484"/>
      <c r="D70" s="853"/>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c r="AT70" s="854"/>
      <c r="AU70" s="854"/>
      <c r="AV70" s="854"/>
      <c r="AW70" s="854"/>
      <c r="AX70" s="855"/>
    </row>
    <row r="71" spans="3:50" ht="18" customHeight="1">
      <c r="C71" s="484"/>
      <c r="D71" s="853"/>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4"/>
      <c r="AJ71" s="854"/>
      <c r="AK71" s="854"/>
      <c r="AL71" s="854"/>
      <c r="AM71" s="854"/>
      <c r="AN71" s="854"/>
      <c r="AO71" s="854"/>
      <c r="AP71" s="854"/>
      <c r="AQ71" s="854"/>
      <c r="AR71" s="854"/>
      <c r="AS71" s="854"/>
      <c r="AT71" s="854"/>
      <c r="AU71" s="854"/>
      <c r="AV71" s="854"/>
      <c r="AW71" s="854"/>
      <c r="AX71" s="855"/>
    </row>
    <row r="72" spans="3:50" ht="18" customHeight="1">
      <c r="C72" s="484"/>
      <c r="D72" s="853"/>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5"/>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r:id="rId4"/>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D3" sqref="D3"/>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496</v>
      </c>
      <c r="C3" s="299" t="s">
        <v>296</v>
      </c>
      <c r="D3" s="29" t="s">
        <v>414</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50" t="s">
        <v>124</v>
      </c>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c r="AI11" s="525"/>
      <c r="AJ11" s="514"/>
      <c r="AK11" s="525"/>
      <c r="AL11" s="514"/>
      <c r="AM11" s="525"/>
      <c r="AN11" s="514"/>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40" t="s">
        <v>143</v>
      </c>
      <c r="E15" s="840"/>
      <c r="F15" s="840"/>
      <c r="G15" s="840"/>
      <c r="H15" s="840"/>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c r="AP15" s="840"/>
      <c r="AQ15" s="840"/>
      <c r="AR15" s="840"/>
      <c r="AS15" s="840"/>
      <c r="AT15" s="840"/>
      <c r="AU15" s="840"/>
      <c r="AV15" s="840"/>
      <c r="AW15" s="840"/>
      <c r="AX15" s="840"/>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2.5">
      <c r="A16" s="636"/>
      <c r="B16" s="636"/>
      <c r="C16" s="245" t="s">
        <v>142</v>
      </c>
      <c r="D16" s="844" t="s">
        <v>110</v>
      </c>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844"/>
      <c r="AL16" s="844"/>
      <c r="AM16" s="844"/>
      <c r="AN16" s="844"/>
      <c r="AO16" s="844"/>
      <c r="AP16" s="844"/>
      <c r="AQ16" s="844"/>
      <c r="AR16" s="844"/>
      <c r="AS16" s="844"/>
      <c r="AT16" s="844"/>
      <c r="AU16" s="844"/>
      <c r="AV16" s="844"/>
      <c r="AW16" s="844"/>
      <c r="AX16" s="844"/>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22.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41"/>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3"/>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3:97" ht="18" customHeight="1">
      <c r="C23" s="484"/>
      <c r="D23" s="853"/>
      <c r="E23" s="854"/>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4"/>
      <c r="AR23" s="854"/>
      <c r="AS23" s="854"/>
      <c r="AT23" s="854"/>
      <c r="AU23" s="854"/>
      <c r="AV23" s="854"/>
      <c r="AW23" s="854"/>
      <c r="AX23" s="855"/>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53"/>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5"/>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53"/>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5"/>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53"/>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5"/>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53"/>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5"/>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53"/>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5"/>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53"/>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5"/>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53"/>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54"/>
      <c r="AS30" s="854"/>
      <c r="AT30" s="854"/>
      <c r="AU30" s="854"/>
      <c r="AV30" s="854"/>
      <c r="AW30" s="854"/>
      <c r="AX30" s="855"/>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53"/>
      <c r="E31" s="854"/>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5"/>
      <c r="AZ31" s="280"/>
    </row>
    <row r="32" spans="3:50" ht="18" customHeight="1">
      <c r="C32" s="484"/>
      <c r="D32" s="853"/>
      <c r="E32" s="854"/>
      <c r="F32" s="854"/>
      <c r="G32" s="854"/>
      <c r="H32" s="854"/>
      <c r="I32" s="854"/>
      <c r="J32" s="854"/>
      <c r="K32" s="854"/>
      <c r="L32" s="854"/>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5"/>
    </row>
    <row r="33" spans="3:50" ht="18" customHeight="1">
      <c r="C33" s="484"/>
      <c r="D33" s="853"/>
      <c r="E33" s="854"/>
      <c r="F33" s="854"/>
      <c r="G33" s="854"/>
      <c r="H33" s="854"/>
      <c r="I33" s="854"/>
      <c r="J33" s="854"/>
      <c r="K33" s="854"/>
      <c r="L33" s="854"/>
      <c r="M33" s="854"/>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54"/>
      <c r="AS33" s="854"/>
      <c r="AT33" s="854"/>
      <c r="AU33" s="854"/>
      <c r="AV33" s="854"/>
      <c r="AW33" s="854"/>
      <c r="AX33" s="855"/>
    </row>
    <row r="34" spans="3:50" ht="18" customHeight="1">
      <c r="C34" s="484"/>
      <c r="D34" s="853"/>
      <c r="E34" s="854"/>
      <c r="F34" s="854"/>
      <c r="G34" s="854"/>
      <c r="H34" s="854"/>
      <c r="I34" s="854"/>
      <c r="J34" s="854"/>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4"/>
      <c r="AL34" s="854"/>
      <c r="AM34" s="854"/>
      <c r="AN34" s="854"/>
      <c r="AO34" s="854"/>
      <c r="AP34" s="854"/>
      <c r="AQ34" s="854"/>
      <c r="AR34" s="854"/>
      <c r="AS34" s="854"/>
      <c r="AT34" s="854"/>
      <c r="AU34" s="854"/>
      <c r="AV34" s="854"/>
      <c r="AW34" s="854"/>
      <c r="AX34" s="855"/>
    </row>
    <row r="35" spans="3:50" ht="18" customHeight="1">
      <c r="C35" s="484"/>
      <c r="D35" s="853"/>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5"/>
    </row>
    <row r="36" spans="3:50" ht="18" customHeight="1">
      <c r="C36" s="484"/>
      <c r="D36" s="853"/>
      <c r="E36" s="854"/>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4"/>
      <c r="AL36" s="854"/>
      <c r="AM36" s="854"/>
      <c r="AN36" s="854"/>
      <c r="AO36" s="854"/>
      <c r="AP36" s="854"/>
      <c r="AQ36" s="854"/>
      <c r="AR36" s="854"/>
      <c r="AS36" s="854"/>
      <c r="AT36" s="854"/>
      <c r="AU36" s="854"/>
      <c r="AV36" s="854"/>
      <c r="AW36" s="854"/>
      <c r="AX36" s="855"/>
    </row>
    <row r="37" spans="3:50" ht="18" customHeight="1">
      <c r="C37" s="484"/>
      <c r="D37" s="853"/>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54"/>
      <c r="AS37" s="854"/>
      <c r="AT37" s="854"/>
      <c r="AU37" s="854"/>
      <c r="AV37" s="854"/>
      <c r="AW37" s="854"/>
      <c r="AX37" s="855"/>
    </row>
    <row r="38" spans="3:50" ht="18" customHeight="1">
      <c r="C38" s="484"/>
      <c r="D38" s="853"/>
      <c r="E38" s="854"/>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5"/>
    </row>
    <row r="39" spans="3:50" ht="18" customHeight="1">
      <c r="C39" s="484"/>
      <c r="D39" s="853"/>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5"/>
    </row>
    <row r="40" spans="3:50" ht="18" customHeight="1">
      <c r="C40" s="484"/>
      <c r="D40" s="853"/>
      <c r="E40" s="854"/>
      <c r="F40" s="854"/>
      <c r="G40" s="854"/>
      <c r="H40" s="854"/>
      <c r="I40" s="854"/>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c r="AV40" s="854"/>
      <c r="AW40" s="854"/>
      <c r="AX40" s="855"/>
    </row>
    <row r="41" spans="3:50" ht="18" customHeight="1">
      <c r="C41" s="484"/>
      <c r="D41" s="853"/>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c r="AT41" s="854"/>
      <c r="AU41" s="854"/>
      <c r="AV41" s="854"/>
      <c r="AW41" s="854"/>
      <c r="AX41" s="855"/>
    </row>
    <row r="42" spans="3:50" ht="18" customHeight="1">
      <c r="C42" s="521"/>
      <c r="D42" s="853"/>
      <c r="E42" s="854"/>
      <c r="F42" s="854"/>
      <c r="G42" s="854"/>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5"/>
    </row>
    <row r="43" spans="3:50" ht="18" customHeight="1">
      <c r="C43" s="519"/>
      <c r="D43" s="863"/>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5"/>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2022-10-05T11:26:38Z</cp:lastPrinted>
  <dcterms:created xsi:type="dcterms:W3CDTF">2001-01-18T18:38:40Z</dcterms:created>
  <dcterms:modified xsi:type="dcterms:W3CDTF">2023-05-11T15:00:13Z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